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autoCompressPictures="0"/>
  <mc:AlternateContent xmlns:mc="http://schemas.openxmlformats.org/markup-compatibility/2006">
    <mc:Choice Requires="x15">
      <x15ac:absPath xmlns:x15ac="http://schemas.microsoft.com/office/spreadsheetml/2010/11/ac" url="https://hessoit-my.sharepoint.com/personal/thomas_jusselme_hes-so_ch/Documents/04.Mandats/08.BFFSA_Climat/04.Développements/WP1.5/CahierDesCharges_partage/Outil simplifié/"/>
    </mc:Choice>
  </mc:AlternateContent>
  <xr:revisionPtr revIDLastSave="0" documentId="8_{486FDE3A-30D4-4AE7-999D-1F3EBE5FCB63}" xr6:coauthVersionLast="47" xr6:coauthVersionMax="47" xr10:uidLastSave="{00000000-0000-0000-0000-000000000000}"/>
  <bookViews>
    <workbookView xWindow="-120" yWindow="-120" windowWidth="29040" windowHeight="15720" xr2:uid="{41766DE6-E4E4-4E53-AED7-C37027A72948}"/>
  </bookViews>
  <sheets>
    <sheet name="Info" sheetId="24" r:id="rId1"/>
    <sheet name="Aide" sheetId="42" r:id="rId2"/>
    <sheet name="Outil simplifié" sheetId="29" r:id="rId3"/>
    <sheet name="Isolation" sheetId="58" state="hidden" r:id="rId4"/>
    <sheet name="Renovation" sheetId="50" state="hidden" r:id="rId5"/>
    <sheet name="Outil détaillé" sheetId="30" r:id="rId6"/>
    <sheet name="Décomposition" sheetId="31" r:id="rId7"/>
    <sheet name="List of materials" sheetId="37" state="hidden" r:id="rId8"/>
    <sheet name="Exploitation" sheetId="34" r:id="rId9"/>
    <sheet name="Hypothèses" sheetId="33" r:id="rId10"/>
    <sheet name="Calcul Energie" sheetId="51" state="hidden" r:id="rId11"/>
    <sheet name="PAC" sheetId="55" state="hidden" r:id="rId12"/>
    <sheet name="Graphes_Background" sheetId="32" state="hidden" r:id="rId13"/>
    <sheet name="Abords des bâtiments" sheetId="46" state="hidden" r:id="rId14"/>
    <sheet name="Travaux préparatoires" sheetId="11" state="hidden" r:id="rId15"/>
    <sheet name="Enveloppe du bâtiment sout." sheetId="5" state="hidden" r:id="rId16"/>
    <sheet name="Enveloppe du bâtiment hors terr" sheetId="7" state="hidden" r:id="rId17"/>
    <sheet name="Eléments de constr. inté. et ex" sheetId="8" state="hidden" r:id="rId18"/>
    <sheet name="Installations" sheetId="10" state="hidden" r:id="rId19"/>
    <sheet name="Station climatique" sheetId="53" state="hidden" r:id="rId20"/>
    <sheet name="Comparaison" sheetId="49" r:id="rId21"/>
    <sheet name="Liste" sheetId="40" state="hidden" r:id="rId22"/>
    <sheet name="Cibles" sheetId="38" state="hidden" r:id="rId23"/>
    <sheet name="Baumaterialien Matériaux" sheetId="3" state="hidden" r:id="rId24"/>
    <sheet name="Energie Energie" sheetId="36" state="hidden" r:id="rId25"/>
    <sheet name="Gebäudetechnik Technique du bât" sheetId="4" state="hidden" r:id="rId26"/>
    <sheet name="Transporte Transports" sheetId="6" state="hidden" r:id="rId27"/>
  </sheets>
  <definedNames>
    <definedName name="_xlnm._FilterDatabase" localSheetId="23" hidden="1">#REF!</definedName>
    <definedName name="_xlnm._FilterDatabase" localSheetId="16" hidden="1">#REF!</definedName>
    <definedName name="_xlnm._FilterDatabase" localSheetId="25" hidden="1">#REF!</definedName>
    <definedName name="_xlnm._FilterDatabase" localSheetId="7" hidden="1">'List of materials'!$B$1:$B$69</definedName>
    <definedName name="_xlnm._FilterDatabase" localSheetId="26" hidden="1">#REF!</definedName>
    <definedName name="_xlnm._FilterDatabase" hidden="1">#REF!</definedName>
    <definedName name="_xlchart.v1.0" hidden="1">Graphes_Background!$B$2:$C$22</definedName>
    <definedName name="_xlchart.v1.1" hidden="1">Graphes_Background!$D$2:$D$22</definedName>
    <definedName name="Extract" localSheetId="21">Liste!#REF!</definedName>
    <definedName name="Print_Area" localSheetId="1">Aide!$A$1:$P$70</definedName>
    <definedName name="Print_Area" localSheetId="9">Hypothèses!$A$52:$M$58</definedName>
    <definedName name="Print_Area" localSheetId="0">Info!$A$1:$N$23</definedName>
    <definedName name="Print_Area" localSheetId="5">'Outil détaillé'!$B$1:$N$71</definedName>
    <definedName name="Print_Area" localSheetId="2">'Outil simplifié'!$A$1:$M$139</definedName>
    <definedName name="UmrechnungsfaktorkWh">#REF!</definedName>
    <definedName name="Z_0111E7B5_3E0B_11D4_8303_000102284B93_.wvu.PrintArea" localSheetId="23" hidden="1">#REF!</definedName>
    <definedName name="Z_0111E7B5_3E0B_11D4_8303_000102284B93_.wvu.PrintArea" localSheetId="16" hidden="1">#REF!</definedName>
    <definedName name="Z_0111E7B5_3E0B_11D4_8303_000102284B93_.wvu.PrintArea" localSheetId="25" hidden="1">#REF!</definedName>
    <definedName name="Z_0111E7B5_3E0B_11D4_8303_000102284B93_.wvu.PrintArea" localSheetId="26" hidden="1">#REF!</definedName>
    <definedName name="Z_0111E7B5_3E0B_11D4_8303_000102284B93_.wvu.PrintArea" hidden="1">#REF!</definedName>
    <definedName name="Z_011E7B5_3E0B_11D4_8303_000102284B94" localSheetId="23" hidden="1">#REF!</definedName>
    <definedName name="Z_011E7B5_3E0B_11D4_8303_000102284B94" localSheetId="16" hidden="1">#REF!</definedName>
    <definedName name="Z_011E7B5_3E0B_11D4_8303_000102284B94" localSheetId="25" hidden="1">#REF!</definedName>
    <definedName name="Z_011E7B5_3E0B_11D4_8303_000102284B94" localSheetId="26" hidden="1">#REF!</definedName>
    <definedName name="Z_011E7B5_3E0B_11D4_8303_000102284B94" hidden="1">#REF!</definedName>
    <definedName name="Z_54A7C567_FA7D_467E_B353_ECB5E61AE756_.wvu.Cols" localSheetId="23" hidden="1">'Baumaterialien Matériaux'!$B:$B,'Baumaterialien Matériaux'!$D:$E,'Baumaterialien Matériaux'!$K:$O,'Baumaterialien Matériaux'!$AE:$AE</definedName>
    <definedName name="Z_54A7C567_FA7D_467E_B353_ECB5E61AE756_.wvu.Cols" localSheetId="24" hidden="1">'Energie Energie'!$B:$B,'Energie Energie'!$G:$G,'Energie Energie'!$J:$J</definedName>
    <definedName name="Z_54A7C567_FA7D_467E_B353_ECB5E61AE756_.wvu.Cols" localSheetId="25" hidden="1">'Gebäudetechnik Technique du bât'!$D:$E</definedName>
    <definedName name="Z_54A7C567_FA7D_467E_B353_ECB5E61AE756_.wvu.FilterData" localSheetId="7" hidden="1">'List of materials'!$B$1:$F$31</definedName>
    <definedName name="Z_54A7C567_FA7D_467E_B353_ECB5E61AE756_.wvu.PrintArea" localSheetId="9" hidden="1">Hypothèses!$A$52:$M$58</definedName>
    <definedName name="Z_54A7C567_FA7D_467E_B353_ECB5E61AE756_.wvu.PrintArea" localSheetId="2" hidden="1">'Outil simplifié'!$A$6:$N$137</definedName>
    <definedName name="Z_54A7C567_FA7D_467E_B353_ECB5E61AE756_.wvu.Rows" localSheetId="23" hidden="1">'Baumaterialien Matériaux'!$3:$3</definedName>
    <definedName name="Z_54A7C567_FA7D_467E_B353_ECB5E61AE756_.wvu.Rows" localSheetId="24" hidden="1">'Energie Energie'!$3:$3</definedName>
    <definedName name="Z_54A7C567_FA7D_467E_B353_ECB5E61AE756_.wvu.Rows" localSheetId="25" hidden="1">'Gebäudetechnik Technique du bât'!$3:$3</definedName>
    <definedName name="Z_54A7C567_FA7D_467E_B353_ECB5E61AE756_.wvu.Rows" localSheetId="26" hidden="1">'Transporte Transports'!$3:$3</definedName>
    <definedName name="Z_9FA74287_E657_475B_BF4B_3C8C757714AE_.wvu.Cols" localSheetId="23" hidden="1">'Baumaterialien Matériaux'!$D:$E</definedName>
    <definedName name="Z_9FA74287_E657_475B_BF4B_3C8C757714AE_.wvu.Cols" localSheetId="6" hidden="1">Décomposition!#REF!</definedName>
    <definedName name="Z_9FA74287_E657_475B_BF4B_3C8C757714AE_.wvu.Cols" localSheetId="25" hidden="1">'Gebäudetechnik Technique du bât'!$D:$E</definedName>
    <definedName name="Z_9FA74287_E657_475B_BF4B_3C8C757714AE_.wvu.PrintArea" localSheetId="9" hidden="1">Hypothèses!$A$52:$M$58</definedName>
    <definedName name="Z_9FA74287_E657_475B_BF4B_3C8C757714AE_.wvu.Rows" localSheetId="23" hidden="1">'Baumaterialien Matériaux'!$3:$3</definedName>
    <definedName name="Z_9FA74287_E657_475B_BF4B_3C8C757714AE_.wvu.Rows" localSheetId="25" hidden="1">'Gebäudetechnik Technique du bât'!$3:$3</definedName>
    <definedName name="Z_9FA74287_E657_475B_BF4B_3C8C757714AE_.wvu.Rows" localSheetId="2" hidden="1">'Outil simplifié'!$23:$29</definedName>
    <definedName name="Z_9FA74287_E657_475B_BF4B_3C8C757714AE_.wvu.Rows" localSheetId="26" hidden="1">'Transporte Transports'!$3:$3</definedName>
    <definedName name="Z_B32447E2_AB5B_4CBB_881B_FF11349CA4D6_.wvu.Cols" localSheetId="23" hidden="1">'Baumaterialien Matériaux'!$D:$E</definedName>
    <definedName name="Z_B32447E2_AB5B_4CBB_881B_FF11349CA4D6_.wvu.Cols" localSheetId="6" hidden="1">Décomposition!#REF!</definedName>
    <definedName name="Z_B32447E2_AB5B_4CBB_881B_FF11349CA4D6_.wvu.Cols" localSheetId="25" hidden="1">'Gebäudetechnik Technique du bât'!$D:$E</definedName>
    <definedName name="Z_B32447E2_AB5B_4CBB_881B_FF11349CA4D6_.wvu.PrintArea" localSheetId="9" hidden="1">Hypothèses!$A$52:$M$58</definedName>
    <definedName name="Z_B32447E2_AB5B_4CBB_881B_FF11349CA4D6_.wvu.Rows" localSheetId="23" hidden="1">'Baumaterialien Matériaux'!$3:$3</definedName>
    <definedName name="Z_B32447E2_AB5B_4CBB_881B_FF11349CA4D6_.wvu.Rows" localSheetId="25" hidden="1">'Gebäudetechnik Technique du bât'!$3:$3</definedName>
    <definedName name="Z_B32447E2_AB5B_4CBB_881B_FF11349CA4D6_.wvu.Rows" localSheetId="2" hidden="1">'Outil simplifié'!$23:$29</definedName>
    <definedName name="Z_B32447E2_AB5B_4CBB_881B_FF11349CA4D6_.wvu.Rows" localSheetId="26" hidden="1">'Transporte Transports'!$3:$3</definedName>
    <definedName name="Z_EC51EC7F_3C0B_4CF9_8F20_C7FD08174DA8_.wvu.PrintArea" localSheetId="23" hidden="1">'Baumaterialien Matériaux'!$C$1:$AD$304</definedName>
    <definedName name="Z_EC51EC7F_3C0B_4CF9_8F20_C7FD08174DA8_.wvu.PrintArea" localSheetId="25" hidden="1">'Gebäudetechnik Technique du bât'!$C$1:$X$52</definedName>
    <definedName name="Z_EC51EC7F_3C0B_4CF9_8F20_C7FD08174DA8_.wvu.PrintArea" localSheetId="26" hidden="1">'Transporte Transports'!$C$1:$AA$79</definedName>
    <definedName name="Z_EC51EC7F_3C0B_4CF9_8F20_C7FD08174DA8_.wvu.PrintTitles" localSheetId="23" hidden="1">'Baumaterialien Matériaux'!$1:$9</definedName>
    <definedName name="Z_EC51EC7F_3C0B_4CF9_8F20_C7FD08174DA8_.wvu.PrintTitles" localSheetId="25" hidden="1">'Gebäudetechnik Technique du bât'!$1:$9</definedName>
    <definedName name="Z_EC51EC7F_3C0B_4CF9_8F20_C7FD08174DA8_.wvu.PrintTitles" localSheetId="26" hidden="1">'Transporte Transports'!$1:$9</definedName>
    <definedName name="_xlnm.Print_Area" localSheetId="1">Aide!$A$1:$P$100</definedName>
    <definedName name="_xlnm.Print_Area" localSheetId="9">Hypothèses!$A$52:$M$58</definedName>
    <definedName name="_xlnm.Print_Area" localSheetId="5">'Outil détaillé'!$B$1:$N$71</definedName>
    <definedName name="_xlnm.Print_Area" localSheetId="2">'Outil simplifié'!$A$1:$M$141</definedName>
  </definedNames>
  <calcPr calcId="191028"/>
  <customWorkbookViews>
    <customWorkbookView name="Imprimer" guid="{B32447E2-AB5B-4CBB-881B-FF11349CA4D6}" maximized="1" xWindow="-2569" yWindow="-120" windowWidth="2578" windowHeight="1408" tabRatio="573" activeSheetId="33"/>
    <customWorkbookView name="x" guid="{9FA74287-E657-475B-BF4B-3C8C757714AE}" maximized="1" xWindow="-2569" yWindow="-120" windowWidth="2578" windowHeight="1408" tabRatio="573" activeSheetId="33"/>
    <customWorkbookView name="OutilImpr" guid="{54A7C567-FA7D-467E-B353-ECB5E61AE756}" maximized="1" xWindow="-8" yWindow="-8" windowWidth="1936" windowHeight="1048" activeSheetId="29"/>
  </customWorkbookViews>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29" l="1" a="1"/>
  <c r="C35" i="29" s="1"/>
  <c r="C36" i="29" a="1"/>
  <c r="C36" i="29"/>
  <c r="C38" i="29" a="1"/>
  <c r="C38" i="29"/>
  <c r="C41" i="29" a="1"/>
  <c r="C41" i="29" s="1"/>
  <c r="C34" i="29" a="1"/>
  <c r="C34" i="29" s="1"/>
  <c r="C40" i="29" a="1"/>
  <c r="C40" i="29" s="1"/>
  <c r="C37" i="29" a="1"/>
  <c r="C37" i="29" s="1"/>
  <c r="C33" i="29" a="1"/>
  <c r="C33" i="29" s="1"/>
  <c r="H7" i="51"/>
  <c r="H5" i="51"/>
  <c r="J36" i="58"/>
  <c r="I36" i="58"/>
  <c r="J27" i="58"/>
  <c r="I27" i="58"/>
  <c r="J21" i="58"/>
  <c r="I21" i="58"/>
  <c r="J15" i="58"/>
  <c r="I15" i="58"/>
  <c r="J9" i="58"/>
  <c r="I9" i="58"/>
  <c r="I3" i="58"/>
  <c r="J3" i="58"/>
  <c r="F19" i="29"/>
  <c r="B209" i="7"/>
  <c r="C209" i="7"/>
  <c r="D209" i="7"/>
  <c r="E209" i="7"/>
  <c r="F209" i="7"/>
  <c r="G209" i="7"/>
  <c r="H209" i="7"/>
  <c r="I209" i="7"/>
  <c r="J209" i="7"/>
  <c r="K209" i="7"/>
  <c r="L209" i="7"/>
  <c r="M209" i="7"/>
  <c r="N209" i="7"/>
  <c r="O209" i="7"/>
  <c r="P209" i="7"/>
  <c r="Q209" i="7"/>
  <c r="R209" i="7"/>
  <c r="S209" i="7"/>
  <c r="T209" i="7"/>
  <c r="U209" i="7"/>
  <c r="V209" i="7"/>
  <c r="A209" i="7"/>
  <c r="D29" i="29" a="1"/>
  <c r="D29" i="29" s="1"/>
  <c r="D28" i="29" a="1"/>
  <c r="D28" i="29" s="1"/>
  <c r="H3" i="58" l="1"/>
  <c r="K3" i="58" s="1"/>
  <c r="H36" i="58"/>
  <c r="H14" i="51" s="1"/>
  <c r="A38" i="58"/>
  <c r="A37" i="58"/>
  <c r="H27" i="58"/>
  <c r="H21" i="58"/>
  <c r="H13" i="51" s="1"/>
  <c r="H15" i="58"/>
  <c r="K15" i="58" s="1"/>
  <c r="H9" i="58"/>
  <c r="A18" i="58"/>
  <c r="A17" i="58"/>
  <c r="A23" i="58" s="1"/>
  <c r="A16" i="58"/>
  <c r="A22" i="58" s="1"/>
  <c r="L18" i="58" l="1"/>
  <c r="L16" i="58"/>
  <c r="L19" i="58"/>
  <c r="L17" i="58"/>
  <c r="L7" i="58"/>
  <c r="L6" i="58"/>
  <c r="L5" i="58"/>
  <c r="L4" i="58"/>
  <c r="K36" i="58"/>
  <c r="K27" i="58"/>
  <c r="K21" i="58"/>
  <c r="K9" i="58"/>
  <c r="H9" i="51"/>
  <c r="H12" i="51"/>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V111" i="7"/>
  <c r="V112" i="7"/>
  <c r="V113" i="7"/>
  <c r="V114" i="7"/>
  <c r="V115" i="7"/>
  <c r="V116" i="7"/>
  <c r="V117" i="7"/>
  <c r="V118" i="7"/>
  <c r="V119" i="7"/>
  <c r="V120" i="7"/>
  <c r="V121" i="7"/>
  <c r="V122" i="7"/>
  <c r="V123" i="7"/>
  <c r="V124" i="7"/>
  <c r="V125" i="7"/>
  <c r="V126" i="7"/>
  <c r="V127" i="7"/>
  <c r="V128" i="7"/>
  <c r="V129" i="7"/>
  <c r="V130" i="7"/>
  <c r="V131" i="7"/>
  <c r="V132" i="7"/>
  <c r="V133" i="7"/>
  <c r="V134" i="7"/>
  <c r="V135" i="7"/>
  <c r="V136" i="7"/>
  <c r="V137" i="7"/>
  <c r="V138" i="7"/>
  <c r="V139" i="7"/>
  <c r="V140" i="7"/>
  <c r="V141" i="7"/>
  <c r="V142" i="7"/>
  <c r="V143" i="7"/>
  <c r="V144" i="7"/>
  <c r="V145" i="7"/>
  <c r="V146" i="7"/>
  <c r="V147" i="7"/>
  <c r="V148" i="7"/>
  <c r="V149" i="7"/>
  <c r="V150" i="7"/>
  <c r="V151" i="7"/>
  <c r="V152"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10" i="7"/>
  <c r="V211" i="7"/>
  <c r="V212" i="7"/>
  <c r="V213" i="7"/>
  <c r="V214" i="7"/>
  <c r="V215" i="7"/>
  <c r="V216" i="7"/>
  <c r="V217" i="7"/>
  <c r="V218" i="7"/>
  <c r="V219" i="7"/>
  <c r="V220" i="7"/>
  <c r="V4" i="7"/>
  <c r="V4" i="5"/>
  <c r="V6" i="5"/>
  <c r="V5" i="5"/>
  <c r="H4" i="5"/>
  <c r="E17" i="51"/>
  <c r="E4" i="38" a="1"/>
  <c r="E4" i="38" s="1"/>
  <c r="E3" i="38" a="1"/>
  <c r="E3" i="38" s="1"/>
  <c r="C4" i="38" a="1"/>
  <c r="C4" i="38" s="1"/>
  <c r="C3" i="38" a="1"/>
  <c r="C3" i="38" s="1"/>
  <c r="B4" i="38" a="1"/>
  <c r="B4" i="38" s="1"/>
  <c r="B3" i="38" a="1"/>
  <c r="B3" i="38" s="1"/>
  <c r="J27" i="29" s="1"/>
  <c r="L37" i="30"/>
  <c r="L36" i="30"/>
  <c r="L35" i="30"/>
  <c r="L31" i="30"/>
  <c r="F23" i="33"/>
  <c r="F24" i="33" s="1"/>
  <c r="F25" i="33" s="1"/>
  <c r="F26" i="33" s="1"/>
  <c r="H16" i="29"/>
  <c r="K16" i="29"/>
  <c r="L13" i="58" l="1"/>
  <c r="L12" i="58"/>
  <c r="L11" i="58"/>
  <c r="L10" i="58"/>
  <c r="L22" i="58"/>
  <c r="L25" i="58"/>
  <c r="L24" i="58"/>
  <c r="L23" i="58"/>
  <c r="L32" i="58"/>
  <c r="L29" i="58"/>
  <c r="L28" i="58"/>
  <c r="L30" i="58"/>
  <c r="L31" i="58"/>
  <c r="L40" i="58"/>
  <c r="L39" i="58"/>
  <c r="L38" i="58"/>
  <c r="L37" i="58"/>
  <c r="B8" i="55"/>
  <c r="B5" i="55"/>
  <c r="B3" i="55"/>
  <c r="B7" i="55"/>
  <c r="B4" i="55"/>
  <c r="B6" i="55"/>
  <c r="AE37" i="29"/>
  <c r="G63" i="30" a="1"/>
  <c r="G63" i="30" s="1"/>
  <c r="A76" i="40" a="1"/>
  <c r="A76" i="40" s="1"/>
  <c r="G20" i="10"/>
  <c r="G18" i="10"/>
  <c r="L20" i="10"/>
  <c r="L18" i="10"/>
  <c r="G14" i="10"/>
  <c r="M14" i="10"/>
  <c r="M18" i="10" s="1"/>
  <c r="L14" i="10"/>
  <c r="K14" i="10"/>
  <c r="K22" i="10" s="1"/>
  <c r="J14" i="10"/>
  <c r="J18" i="10" s="1"/>
  <c r="G26" i="10"/>
  <c r="G24" i="10"/>
  <c r="L24" i="10" s="1"/>
  <c r="G22" i="10"/>
  <c r="L22" i="10" s="1"/>
  <c r="G16" i="10"/>
  <c r="M16" i="10" s="1"/>
  <c r="F15" i="55"/>
  <c r="M20" i="10" l="1"/>
  <c r="M24" i="10"/>
  <c r="J16" i="10"/>
  <c r="K16" i="10"/>
  <c r="L16" i="10"/>
  <c r="K18" i="10"/>
  <c r="J22" i="10"/>
  <c r="M22" i="10"/>
  <c r="E3" i="51"/>
  <c r="E2" i="51"/>
  <c r="Q87" i="51" s="1"/>
  <c r="B1" i="53"/>
  <c r="H3" i="53" s="1"/>
  <c r="L57" i="51" s="1"/>
  <c r="F2" i="53"/>
  <c r="J56" i="51" s="1"/>
  <c r="K2" i="53"/>
  <c r="O56" i="51" s="1"/>
  <c r="L2" i="53"/>
  <c r="P56" i="51" s="1"/>
  <c r="M2" i="53"/>
  <c r="Q56" i="51" s="1"/>
  <c r="N2" i="53"/>
  <c r="B3" i="53"/>
  <c r="F57" i="51" s="1"/>
  <c r="H4" i="53"/>
  <c r="L58" i="51" s="1"/>
  <c r="I4" i="53"/>
  <c r="M58" i="51" s="1"/>
  <c r="L4" i="53"/>
  <c r="P58" i="51" s="1"/>
  <c r="E1" i="51"/>
  <c r="H94" i="51"/>
  <c r="G94" i="51"/>
  <c r="Q93" i="51"/>
  <c r="P93" i="51"/>
  <c r="O93" i="51"/>
  <c r="N93" i="51"/>
  <c r="L93" i="51"/>
  <c r="K93" i="51"/>
  <c r="J93" i="51"/>
  <c r="I93" i="51"/>
  <c r="H93" i="51"/>
  <c r="G93" i="51"/>
  <c r="F93" i="51"/>
  <c r="Q92" i="51"/>
  <c r="Q94" i="51" s="1"/>
  <c r="P92" i="51"/>
  <c r="P94" i="51" s="1"/>
  <c r="O92" i="51"/>
  <c r="O94" i="51" s="1"/>
  <c r="N92" i="51"/>
  <c r="N94" i="51" s="1"/>
  <c r="M92" i="51"/>
  <c r="M94" i="51" s="1"/>
  <c r="L92" i="51"/>
  <c r="L94" i="51" s="1"/>
  <c r="K92" i="51"/>
  <c r="K94" i="51" s="1"/>
  <c r="J92" i="51"/>
  <c r="J94" i="51" s="1"/>
  <c r="I92" i="51"/>
  <c r="I94" i="51" s="1"/>
  <c r="H92" i="51"/>
  <c r="G92" i="51"/>
  <c r="F92" i="51"/>
  <c r="F94" i="51" s="1"/>
  <c r="Q88" i="51"/>
  <c r="P88" i="51"/>
  <c r="O88" i="51"/>
  <c r="N88" i="51"/>
  <c r="M88" i="51"/>
  <c r="L88" i="51"/>
  <c r="K88" i="51"/>
  <c r="J88" i="51"/>
  <c r="I88" i="51"/>
  <c r="H88" i="51"/>
  <c r="G88" i="51"/>
  <c r="F88" i="51"/>
  <c r="M55" i="51"/>
  <c r="M93" i="51" s="1"/>
  <c r="E45" i="51"/>
  <c r="G11" i="33"/>
  <c r="H11" i="33"/>
  <c r="I11" i="33"/>
  <c r="F11" i="33"/>
  <c r="D20" i="33" s="1"/>
  <c r="L26" i="30" s="1"/>
  <c r="N286" i="31"/>
  <c r="N287" i="31"/>
  <c r="N288" i="31"/>
  <c r="N289" i="31"/>
  <c r="N285" i="31"/>
  <c r="N280" i="31"/>
  <c r="N281" i="31"/>
  <c r="N282" i="31"/>
  <c r="N283" i="31"/>
  <c r="N279" i="31"/>
  <c r="N274" i="31"/>
  <c r="N275" i="31"/>
  <c r="N276" i="31"/>
  <c r="N277" i="31"/>
  <c r="N273" i="31"/>
  <c r="N254" i="31"/>
  <c r="N255" i="31"/>
  <c r="N256" i="31"/>
  <c r="N253" i="31"/>
  <c r="N249" i="31"/>
  <c r="N250" i="31"/>
  <c r="N251" i="31"/>
  <c r="N248" i="31"/>
  <c r="N242" i="31"/>
  <c r="N243" i="31"/>
  <c r="N244" i="31"/>
  <c r="N245" i="31"/>
  <c r="N241" i="31"/>
  <c r="N236" i="31"/>
  <c r="N237" i="31"/>
  <c r="N238" i="31"/>
  <c r="N239" i="31"/>
  <c r="N235" i="31"/>
  <c r="N231" i="31"/>
  <c r="N232" i="31"/>
  <c r="N230" i="31"/>
  <c r="N227" i="31"/>
  <c r="N228" i="31"/>
  <c r="N226" i="31"/>
  <c r="N224" i="31"/>
  <c r="N222" i="31"/>
  <c r="N223" i="31"/>
  <c r="N221" i="31"/>
  <c r="N213" i="31"/>
  <c r="N214" i="31"/>
  <c r="N215" i="31"/>
  <c r="N216" i="31"/>
  <c r="N217" i="31"/>
  <c r="N218" i="31"/>
  <c r="N219" i="31"/>
  <c r="N212" i="31"/>
  <c r="N208" i="31"/>
  <c r="N209" i="31"/>
  <c r="N210" i="31"/>
  <c r="N207" i="31"/>
  <c r="N199" i="31"/>
  <c r="N200" i="31"/>
  <c r="N201" i="31"/>
  <c r="N202" i="31"/>
  <c r="N203" i="31"/>
  <c r="N204" i="31"/>
  <c r="N205" i="31"/>
  <c r="N198" i="31"/>
  <c r="N194" i="31"/>
  <c r="N195" i="31"/>
  <c r="N196" i="31"/>
  <c r="N193" i="31"/>
  <c r="N185" i="31"/>
  <c r="N186" i="31"/>
  <c r="N187" i="31"/>
  <c r="N188" i="31"/>
  <c r="N189" i="31"/>
  <c r="N190" i="31"/>
  <c r="N191" i="31"/>
  <c r="N184" i="31"/>
  <c r="N181" i="31"/>
  <c r="N180" i="31"/>
  <c r="N171" i="31"/>
  <c r="N172" i="31"/>
  <c r="N173" i="31"/>
  <c r="N174" i="31"/>
  <c r="N175" i="31"/>
  <c r="N176" i="31"/>
  <c r="N177" i="31"/>
  <c r="N170" i="31"/>
  <c r="N164" i="31"/>
  <c r="N165" i="31"/>
  <c r="N166" i="31"/>
  <c r="N167" i="31"/>
  <c r="N163" i="31"/>
  <c r="N155" i="31"/>
  <c r="N156" i="31"/>
  <c r="N157" i="31"/>
  <c r="N158" i="31"/>
  <c r="N159" i="31"/>
  <c r="N160" i="31"/>
  <c r="N154" i="31"/>
  <c r="N146" i="31"/>
  <c r="N147" i="31"/>
  <c r="N148" i="31"/>
  <c r="N149" i="31"/>
  <c r="N150" i="31"/>
  <c r="N151" i="31"/>
  <c r="N152" i="31"/>
  <c r="N145" i="31"/>
  <c r="N137" i="31"/>
  <c r="N138" i="31"/>
  <c r="N139" i="31"/>
  <c r="N140" i="31"/>
  <c r="N141" i="31"/>
  <c r="N142" i="31"/>
  <c r="N143" i="31"/>
  <c r="N136" i="31"/>
  <c r="N130" i="31"/>
  <c r="N131" i="31"/>
  <c r="N132" i="31"/>
  <c r="N133" i="31"/>
  <c r="N129" i="31"/>
  <c r="N121" i="31"/>
  <c r="N122" i="31"/>
  <c r="N123" i="31"/>
  <c r="N124" i="31"/>
  <c r="N125" i="31"/>
  <c r="N126" i="31"/>
  <c r="N127" i="31"/>
  <c r="N120" i="31"/>
  <c r="N112" i="31"/>
  <c r="N113" i="31"/>
  <c r="N114" i="31"/>
  <c r="N115" i="31"/>
  <c r="N116" i="31"/>
  <c r="N117" i="31"/>
  <c r="N118" i="31"/>
  <c r="N111" i="31"/>
  <c r="N108" i="31"/>
  <c r="N107" i="31"/>
  <c r="N98" i="31"/>
  <c r="N99" i="31"/>
  <c r="N100" i="31"/>
  <c r="N101" i="31"/>
  <c r="N102" i="31"/>
  <c r="N103" i="31"/>
  <c r="N104" i="31"/>
  <c r="N97" i="31"/>
  <c r="N89" i="31"/>
  <c r="N90" i="31"/>
  <c r="N91" i="31"/>
  <c r="N92" i="31"/>
  <c r="N93" i="31"/>
  <c r="N94" i="31"/>
  <c r="N88" i="31"/>
  <c r="N83" i="31"/>
  <c r="N84" i="31"/>
  <c r="N85" i="31"/>
  <c r="N82" i="31"/>
  <c r="N78" i="31"/>
  <c r="N79" i="31"/>
  <c r="N80" i="31"/>
  <c r="N77" i="31"/>
  <c r="N73" i="31"/>
  <c r="N74" i="31"/>
  <c r="N72" i="31"/>
  <c r="N64" i="31"/>
  <c r="N65" i="31"/>
  <c r="N66" i="31"/>
  <c r="N67" i="31"/>
  <c r="N68" i="31"/>
  <c r="N69" i="31"/>
  <c r="N70" i="31"/>
  <c r="N63" i="31"/>
  <c r="N56" i="31"/>
  <c r="N57" i="31"/>
  <c r="N58" i="31"/>
  <c r="N59" i="31"/>
  <c r="N60" i="31"/>
  <c r="N55" i="31"/>
  <c r="N44" i="31"/>
  <c r="N45" i="31"/>
  <c r="N46" i="31"/>
  <c r="N47" i="31"/>
  <c r="N48" i="31"/>
  <c r="N49" i="31"/>
  <c r="N50" i="31"/>
  <c r="N51" i="31"/>
  <c r="N52" i="31"/>
  <c r="N43" i="31"/>
  <c r="N34" i="31"/>
  <c r="N35" i="31"/>
  <c r="N36" i="31"/>
  <c r="N37" i="31"/>
  <c r="N38" i="31"/>
  <c r="N39" i="31"/>
  <c r="N40" i="31"/>
  <c r="N33" i="31"/>
  <c r="N25" i="31"/>
  <c r="N26" i="31"/>
  <c r="N27" i="31"/>
  <c r="N28" i="31"/>
  <c r="N29" i="31"/>
  <c r="N30" i="31"/>
  <c r="N24" i="31"/>
  <c r="N17" i="31"/>
  <c r="N18" i="31"/>
  <c r="N19" i="31"/>
  <c r="N20" i="31"/>
  <c r="N21" i="31"/>
  <c r="N22" i="31"/>
  <c r="N16" i="31"/>
  <c r="N9" i="31"/>
  <c r="N7" i="31"/>
  <c r="N6" i="31"/>
  <c r="N2" i="31"/>
  <c r="D75" i="30"/>
  <c r="D74" i="30"/>
  <c r="D73" i="30"/>
  <c r="K150" i="46"/>
  <c r="F150" i="46"/>
  <c r="D150" i="46"/>
  <c r="M146" i="46"/>
  <c r="K146" i="46"/>
  <c r="F146" i="46"/>
  <c r="D146" i="46"/>
  <c r="M138" i="46"/>
  <c r="K138" i="46"/>
  <c r="F138" i="46"/>
  <c r="D138" i="46"/>
  <c r="M130" i="46"/>
  <c r="K130" i="46"/>
  <c r="F130" i="46"/>
  <c r="D130" i="46"/>
  <c r="M123" i="46"/>
  <c r="K123" i="46"/>
  <c r="F123" i="46"/>
  <c r="D123" i="46"/>
  <c r="M116" i="46"/>
  <c r="K116" i="46"/>
  <c r="F116" i="46"/>
  <c r="D116" i="46"/>
  <c r="M109" i="46"/>
  <c r="K109" i="46"/>
  <c r="F109" i="46"/>
  <c r="D109" i="46"/>
  <c r="M102" i="46"/>
  <c r="K102" i="46"/>
  <c r="F102" i="46"/>
  <c r="D102" i="46"/>
  <c r="M94" i="46"/>
  <c r="K94" i="46"/>
  <c r="F94" i="46"/>
  <c r="D94" i="46"/>
  <c r="M87" i="46"/>
  <c r="K87" i="46"/>
  <c r="F87" i="46"/>
  <c r="D87" i="46"/>
  <c r="M80" i="46"/>
  <c r="K80" i="46"/>
  <c r="F80" i="46"/>
  <c r="D80" i="46"/>
  <c r="M73" i="46"/>
  <c r="K73" i="46"/>
  <c r="F73" i="46"/>
  <c r="D73" i="46"/>
  <c r="M65" i="46"/>
  <c r="K65" i="46"/>
  <c r="F65" i="46"/>
  <c r="D65" i="46"/>
  <c r="M58" i="46"/>
  <c r="K58" i="46"/>
  <c r="F58" i="46"/>
  <c r="D58" i="46"/>
  <c r="M50" i="46"/>
  <c r="K50" i="46"/>
  <c r="F50" i="46"/>
  <c r="D50" i="46"/>
  <c r="M43" i="46"/>
  <c r="K43" i="46"/>
  <c r="F43" i="46"/>
  <c r="D43" i="46"/>
  <c r="M35" i="46"/>
  <c r="K35" i="46"/>
  <c r="F35" i="46"/>
  <c r="D35" i="46"/>
  <c r="F151" i="46"/>
  <c r="D151" i="46"/>
  <c r="F145" i="46"/>
  <c r="D145" i="46"/>
  <c r="F144" i="46"/>
  <c r="D144" i="46"/>
  <c r="F143" i="46"/>
  <c r="D143" i="46"/>
  <c r="F142" i="46"/>
  <c r="D142" i="46"/>
  <c r="F141" i="46"/>
  <c r="D141" i="46"/>
  <c r="F137" i="46"/>
  <c r="D137" i="46"/>
  <c r="F136" i="46"/>
  <c r="D136" i="46"/>
  <c r="F135" i="46"/>
  <c r="D135" i="46"/>
  <c r="F134" i="46"/>
  <c r="D134" i="46"/>
  <c r="F129" i="46"/>
  <c r="D129" i="46"/>
  <c r="F128" i="46"/>
  <c r="D128" i="46"/>
  <c r="F127" i="46"/>
  <c r="D127" i="46"/>
  <c r="F126" i="46"/>
  <c r="D126" i="46"/>
  <c r="F122" i="46"/>
  <c r="D122" i="46"/>
  <c r="F121" i="46"/>
  <c r="D121" i="46"/>
  <c r="F120" i="46"/>
  <c r="D120" i="46"/>
  <c r="F119" i="46"/>
  <c r="D119" i="46"/>
  <c r="F115" i="46"/>
  <c r="D115" i="46"/>
  <c r="F114" i="46"/>
  <c r="D114" i="46"/>
  <c r="F113" i="46"/>
  <c r="D113" i="46"/>
  <c r="F112" i="46"/>
  <c r="D112" i="46"/>
  <c r="F108" i="46"/>
  <c r="D108" i="46"/>
  <c r="F107" i="46"/>
  <c r="D107" i="46"/>
  <c r="F106" i="46"/>
  <c r="D106" i="46"/>
  <c r="F105" i="46"/>
  <c r="D105" i="46"/>
  <c r="F101" i="46"/>
  <c r="D101" i="46"/>
  <c r="F100" i="46"/>
  <c r="D100" i="46"/>
  <c r="F99" i="46"/>
  <c r="D99" i="46"/>
  <c r="F98" i="46"/>
  <c r="D98" i="46"/>
  <c r="F97" i="46"/>
  <c r="D97" i="46"/>
  <c r="F93" i="46"/>
  <c r="D93" i="46"/>
  <c r="F92" i="46"/>
  <c r="D92" i="46"/>
  <c r="F91" i="46"/>
  <c r="D91" i="46"/>
  <c r="F90" i="46"/>
  <c r="D90" i="46"/>
  <c r="F86" i="46"/>
  <c r="D86" i="46"/>
  <c r="F85" i="46"/>
  <c r="D85" i="46"/>
  <c r="F84" i="46"/>
  <c r="D84" i="46"/>
  <c r="F83" i="46"/>
  <c r="D83" i="46"/>
  <c r="F79" i="46"/>
  <c r="D79" i="46"/>
  <c r="F78" i="46"/>
  <c r="D78" i="46"/>
  <c r="F77" i="46"/>
  <c r="D77" i="46"/>
  <c r="F76" i="46"/>
  <c r="D76" i="46"/>
  <c r="F72" i="46"/>
  <c r="D72" i="46"/>
  <c r="F71" i="46"/>
  <c r="D71" i="46"/>
  <c r="F70" i="46"/>
  <c r="D70" i="46"/>
  <c r="F69" i="46"/>
  <c r="D69" i="46"/>
  <c r="F68" i="46"/>
  <c r="D68" i="46"/>
  <c r="F64" i="46"/>
  <c r="D64" i="46"/>
  <c r="F63" i="46"/>
  <c r="D63" i="46"/>
  <c r="F62" i="46"/>
  <c r="D62" i="46"/>
  <c r="F61" i="46"/>
  <c r="D61" i="46"/>
  <c r="F57" i="46"/>
  <c r="D57" i="46"/>
  <c r="F56" i="46"/>
  <c r="D56" i="46"/>
  <c r="F55" i="46"/>
  <c r="D55" i="46"/>
  <c r="F54" i="46"/>
  <c r="D54" i="46"/>
  <c r="F53" i="46"/>
  <c r="D53" i="46"/>
  <c r="F49" i="46"/>
  <c r="D49" i="46"/>
  <c r="F48" i="46"/>
  <c r="D48" i="46"/>
  <c r="F47" i="46"/>
  <c r="D47" i="46"/>
  <c r="F46" i="46"/>
  <c r="D46" i="46"/>
  <c r="F42" i="46"/>
  <c r="D42" i="46"/>
  <c r="F41" i="46"/>
  <c r="D41" i="46"/>
  <c r="F40" i="46"/>
  <c r="D40" i="46"/>
  <c r="F39" i="46"/>
  <c r="D39" i="46"/>
  <c r="F38" i="46"/>
  <c r="D38" i="46"/>
  <c r="F34" i="46"/>
  <c r="D34" i="46"/>
  <c r="F33" i="46"/>
  <c r="D33" i="46"/>
  <c r="F32" i="46"/>
  <c r="D32" i="46"/>
  <c r="F31" i="46"/>
  <c r="D31" i="46"/>
  <c r="F22" i="46"/>
  <c r="D22" i="46"/>
  <c r="H74" i="51" l="1"/>
  <c r="B7" i="53"/>
  <c r="F61" i="51" s="1"/>
  <c r="D23" i="33"/>
  <c r="D32" i="33"/>
  <c r="D24" i="33"/>
  <c r="D25" i="33"/>
  <c r="D26" i="33"/>
  <c r="I6" i="53"/>
  <c r="M60" i="51" s="1"/>
  <c r="H7" i="53"/>
  <c r="L61" i="51" s="1"/>
  <c r="G7" i="53"/>
  <c r="K61" i="51" s="1"/>
  <c r="F7" i="53"/>
  <c r="J61" i="51" s="1"/>
  <c r="J87" i="51"/>
  <c r="C7" i="53"/>
  <c r="G61" i="51" s="1"/>
  <c r="G5" i="53"/>
  <c r="K59" i="51" s="1"/>
  <c r="B5" i="53"/>
  <c r="F59" i="51" s="1"/>
  <c r="N4" i="53"/>
  <c r="M4" i="53"/>
  <c r="Q58" i="51" s="1"/>
  <c r="L7" i="53"/>
  <c r="P61" i="51" s="1"/>
  <c r="M5" i="53"/>
  <c r="Q59" i="51" s="1"/>
  <c r="F3" i="53"/>
  <c r="J57" i="51" s="1"/>
  <c r="J95" i="51" s="1"/>
  <c r="I7" i="53"/>
  <c r="M61" i="51" s="1"/>
  <c r="H5" i="53"/>
  <c r="L59" i="51" s="1"/>
  <c r="C3" i="53"/>
  <c r="G57" i="51" s="1"/>
  <c r="G95" i="51" s="1"/>
  <c r="N6" i="53"/>
  <c r="K4" i="53"/>
  <c r="O58" i="51" s="1"/>
  <c r="H2" i="53"/>
  <c r="L56" i="51" s="1"/>
  <c r="L72" i="51" s="1"/>
  <c r="M6" i="53"/>
  <c r="Q60" i="51" s="1"/>
  <c r="J4" i="53"/>
  <c r="N58" i="51" s="1"/>
  <c r="G2" i="53"/>
  <c r="K56" i="51" s="1"/>
  <c r="K84" i="51" s="1"/>
  <c r="G6" i="53"/>
  <c r="K60" i="51" s="1"/>
  <c r="M87" i="51"/>
  <c r="E6" i="53"/>
  <c r="I60" i="51" s="1"/>
  <c r="E4" i="53"/>
  <c r="I58" i="51" s="1"/>
  <c r="N87" i="51"/>
  <c r="D6" i="53"/>
  <c r="H60" i="51" s="1"/>
  <c r="B4" i="53"/>
  <c r="F58" i="51" s="1"/>
  <c r="F6" i="53"/>
  <c r="J60" i="51" s="1"/>
  <c r="O87" i="51"/>
  <c r="C6" i="53"/>
  <c r="G60" i="51" s="1"/>
  <c r="N3" i="53"/>
  <c r="G4" i="53"/>
  <c r="K58" i="51" s="1"/>
  <c r="G87" i="51"/>
  <c r="F4" i="53"/>
  <c r="J58" i="51" s="1"/>
  <c r="P87" i="51"/>
  <c r="N7" i="53"/>
  <c r="B6" i="53"/>
  <c r="F60" i="51" s="1"/>
  <c r="M3" i="53"/>
  <c r="Q57" i="51" s="1"/>
  <c r="Q95" i="51" s="1"/>
  <c r="H6" i="53"/>
  <c r="L60" i="51" s="1"/>
  <c r="M7" i="53"/>
  <c r="Q61" i="51" s="1"/>
  <c r="N5" i="53"/>
  <c r="G3" i="53"/>
  <c r="K57" i="51" s="1"/>
  <c r="K95" i="51" s="1"/>
  <c r="K20" i="10"/>
  <c r="K24" i="10"/>
  <c r="J24" i="10"/>
  <c r="J20" i="10"/>
  <c r="K7" i="53"/>
  <c r="O61" i="51" s="1"/>
  <c r="L5" i="53"/>
  <c r="P59" i="51" s="1"/>
  <c r="E3" i="53"/>
  <c r="I57" i="51" s="1"/>
  <c r="I95" i="51" s="1"/>
  <c r="J7" i="53"/>
  <c r="N61" i="51" s="1"/>
  <c r="I5" i="53"/>
  <c r="M59" i="51" s="1"/>
  <c r="D3" i="53"/>
  <c r="H57" i="51" s="1"/>
  <c r="H95" i="51" s="1"/>
  <c r="M68" i="51"/>
  <c r="N68" i="51"/>
  <c r="F95" i="51"/>
  <c r="O68" i="51"/>
  <c r="Q66" i="51"/>
  <c r="F87" i="51"/>
  <c r="H87" i="51"/>
  <c r="I87" i="51"/>
  <c r="K87" i="51"/>
  <c r="L87" i="51"/>
  <c r="L95" i="51"/>
  <c r="J75" i="51"/>
  <c r="E7" i="53"/>
  <c r="I61" i="51" s="1"/>
  <c r="K5" i="53"/>
  <c r="O59" i="51" s="1"/>
  <c r="D4" i="53"/>
  <c r="H58" i="51" s="1"/>
  <c r="J2" i="53"/>
  <c r="N56" i="51" s="1"/>
  <c r="D7" i="53"/>
  <c r="H61" i="51" s="1"/>
  <c r="J5" i="53"/>
  <c r="N59" i="51" s="1"/>
  <c r="C4" i="53"/>
  <c r="G58" i="51" s="1"/>
  <c r="I2" i="53"/>
  <c r="M56" i="51" s="1"/>
  <c r="M72" i="51" s="1"/>
  <c r="F5" i="53"/>
  <c r="J59" i="51" s="1"/>
  <c r="L3" i="53"/>
  <c r="P57" i="51" s="1"/>
  <c r="P95" i="51" s="1"/>
  <c r="E2" i="53"/>
  <c r="I56" i="51" s="1"/>
  <c r="L6" i="53"/>
  <c r="P60" i="51" s="1"/>
  <c r="E5" i="53"/>
  <c r="I59" i="51" s="1"/>
  <c r="K3" i="53"/>
  <c r="O57" i="51" s="1"/>
  <c r="O95" i="51" s="1"/>
  <c r="D2" i="53"/>
  <c r="H56" i="51" s="1"/>
  <c r="K6" i="53"/>
  <c r="O60" i="51" s="1"/>
  <c r="D5" i="53"/>
  <c r="H59" i="51" s="1"/>
  <c r="J3" i="53"/>
  <c r="N57" i="51" s="1"/>
  <c r="N95" i="51" s="1"/>
  <c r="C2" i="53"/>
  <c r="G56" i="51" s="1"/>
  <c r="G82" i="51" s="1"/>
  <c r="J6" i="53"/>
  <c r="N60" i="51" s="1"/>
  <c r="C5" i="53"/>
  <c r="G59" i="51" s="1"/>
  <c r="I3" i="53"/>
  <c r="M57" i="51" s="1"/>
  <c r="M95" i="51" s="1"/>
  <c r="B2" i="53"/>
  <c r="F56" i="51" s="1"/>
  <c r="P82" i="51"/>
  <c r="P66" i="51"/>
  <c r="O82" i="51"/>
  <c r="O66" i="51"/>
  <c r="Q85" i="51"/>
  <c r="J82" i="51"/>
  <c r="F74" i="51"/>
  <c r="J72" i="51"/>
  <c r="Q73" i="51"/>
  <c r="Q68" i="51"/>
  <c r="P73" i="51"/>
  <c r="P68" i="51"/>
  <c r="Q84" i="51"/>
  <c r="Q74" i="51"/>
  <c r="I73" i="51"/>
  <c r="Q69" i="51"/>
  <c r="I68" i="51"/>
  <c r="Q64" i="51"/>
  <c r="G73" i="51"/>
  <c r="F73" i="51"/>
  <c r="F68" i="51"/>
  <c r="M74" i="51"/>
  <c r="P84" i="51"/>
  <c r="P74" i="51"/>
  <c r="H73" i="51"/>
  <c r="P69" i="51"/>
  <c r="H68" i="51"/>
  <c r="P64" i="51"/>
  <c r="O84" i="51"/>
  <c r="O74" i="51"/>
  <c r="O69" i="51"/>
  <c r="G68" i="51"/>
  <c r="O64" i="51"/>
  <c r="N74" i="51"/>
  <c r="J66" i="51"/>
  <c r="Q82" i="51"/>
  <c r="Q72" i="51"/>
  <c r="G74" i="51"/>
  <c r="L68" i="51"/>
  <c r="N73" i="51"/>
  <c r="J68" i="51"/>
  <c r="O73" i="51"/>
  <c r="K68" i="51"/>
  <c r="M73" i="51"/>
  <c r="L73" i="51"/>
  <c r="J84" i="51"/>
  <c r="K73" i="51"/>
  <c r="Q75" i="51"/>
  <c r="J73" i="51"/>
  <c r="P75" i="51"/>
  <c r="P72" i="51"/>
  <c r="O75" i="51"/>
  <c r="O72" i="51"/>
  <c r="I74" i="51"/>
  <c r="J74" i="51"/>
  <c r="K74" i="51"/>
  <c r="J64" i="51"/>
  <c r="J69" i="51"/>
  <c r="L74" i="51"/>
  <c r="J85" i="51"/>
  <c r="O85" i="51"/>
  <c r="P85" i="51"/>
  <c r="H153" i="46"/>
  <c r="L153" i="46" s="1"/>
  <c r="H152" i="46"/>
  <c r="L152" i="46" s="1"/>
  <c r="H151" i="46"/>
  <c r="H22" i="46"/>
  <c r="H145" i="46"/>
  <c r="H144" i="46"/>
  <c r="H143" i="46"/>
  <c r="H142" i="46"/>
  <c r="H141" i="46"/>
  <c r="H137" i="46"/>
  <c r="H136" i="46"/>
  <c r="H135" i="46"/>
  <c r="H134" i="46"/>
  <c r="H129" i="46"/>
  <c r="H128" i="46"/>
  <c r="H127" i="46"/>
  <c r="H126" i="46"/>
  <c r="H122" i="46"/>
  <c r="H121" i="46"/>
  <c r="H120" i="46"/>
  <c r="H119" i="46"/>
  <c r="H115" i="46"/>
  <c r="H114" i="46"/>
  <c r="H113" i="46"/>
  <c r="H112" i="46"/>
  <c r="H108" i="46"/>
  <c r="H107" i="46"/>
  <c r="H106" i="46"/>
  <c r="H105" i="46"/>
  <c r="H101" i="46"/>
  <c r="H100" i="46"/>
  <c r="H99" i="46"/>
  <c r="H98" i="46"/>
  <c r="H97" i="46"/>
  <c r="H93" i="46"/>
  <c r="H92" i="46"/>
  <c r="H91" i="46"/>
  <c r="H90" i="46"/>
  <c r="H86" i="46"/>
  <c r="H85" i="46"/>
  <c r="H84" i="46"/>
  <c r="H83" i="46"/>
  <c r="H79" i="46"/>
  <c r="H78" i="46"/>
  <c r="H77" i="46"/>
  <c r="H76" i="46"/>
  <c r="H72" i="46"/>
  <c r="H71" i="46"/>
  <c r="H70" i="46"/>
  <c r="H69" i="46"/>
  <c r="H68" i="46"/>
  <c r="H64" i="46"/>
  <c r="H63" i="46"/>
  <c r="H62" i="46"/>
  <c r="H61" i="46"/>
  <c r="H57" i="46"/>
  <c r="H56" i="46"/>
  <c r="H55" i="46"/>
  <c r="H54" i="46"/>
  <c r="H53" i="46"/>
  <c r="H49" i="46"/>
  <c r="H48" i="46"/>
  <c r="H47" i="46"/>
  <c r="H46" i="46"/>
  <c r="H42" i="46"/>
  <c r="H41" i="46"/>
  <c r="H40" i="46"/>
  <c r="H39" i="46"/>
  <c r="H38" i="46"/>
  <c r="H34" i="46"/>
  <c r="H33" i="46"/>
  <c r="H32" i="46"/>
  <c r="H31" i="46"/>
  <c r="M150" i="46"/>
  <c r="P150" i="46"/>
  <c r="Q150" i="46"/>
  <c r="H16" i="46"/>
  <c r="Q16" i="46" s="1"/>
  <c r="F16" i="46"/>
  <c r="D16" i="46"/>
  <c r="K85" i="51" l="1"/>
  <c r="M55" i="46"/>
  <c r="L55" i="46"/>
  <c r="K55" i="46"/>
  <c r="N55" i="46"/>
  <c r="Q55" i="46"/>
  <c r="P55" i="46"/>
  <c r="O55" i="46"/>
  <c r="Q122" i="46"/>
  <c r="P122" i="46"/>
  <c r="O122" i="46"/>
  <c r="N122" i="46"/>
  <c r="M122" i="46"/>
  <c r="L122" i="46"/>
  <c r="K122" i="46"/>
  <c r="Q54" i="46"/>
  <c r="M54" i="46"/>
  <c r="K54" i="46"/>
  <c r="L54" i="46"/>
  <c r="P54" i="46"/>
  <c r="O54" i="46"/>
  <c r="N54" i="46"/>
  <c r="M86" i="46"/>
  <c r="N86" i="46"/>
  <c r="Q86" i="46"/>
  <c r="P86" i="46"/>
  <c r="O86" i="46"/>
  <c r="L86" i="46"/>
  <c r="K86" i="46"/>
  <c r="M121" i="46"/>
  <c r="K121" i="46"/>
  <c r="Q121" i="46"/>
  <c r="P121" i="46"/>
  <c r="O121" i="46"/>
  <c r="N121" i="46"/>
  <c r="L121" i="46"/>
  <c r="K151" i="46"/>
  <c r="L151" i="46"/>
  <c r="K90" i="46"/>
  <c r="L90" i="46"/>
  <c r="O90" i="46"/>
  <c r="N90" i="46"/>
  <c r="Q90" i="46"/>
  <c r="P90" i="46"/>
  <c r="M90" i="46"/>
  <c r="Q61" i="46"/>
  <c r="K61" i="46"/>
  <c r="L61" i="46"/>
  <c r="P61" i="46"/>
  <c r="O61" i="46"/>
  <c r="N61" i="46"/>
  <c r="M61" i="46"/>
  <c r="Q93" i="46"/>
  <c r="P93" i="46"/>
  <c r="K93" i="46"/>
  <c r="L93" i="46"/>
  <c r="O93" i="46"/>
  <c r="N93" i="46"/>
  <c r="M93" i="46"/>
  <c r="Q128" i="46"/>
  <c r="P128" i="46"/>
  <c r="N128" i="46"/>
  <c r="O128" i="46"/>
  <c r="K128" i="46"/>
  <c r="M128" i="46"/>
  <c r="L128" i="46"/>
  <c r="Q62" i="46"/>
  <c r="N62" i="46"/>
  <c r="P62" i="46"/>
  <c r="O62" i="46"/>
  <c r="M62" i="46"/>
  <c r="L62" i="46"/>
  <c r="K62" i="46"/>
  <c r="M97" i="46"/>
  <c r="L97" i="46"/>
  <c r="K97" i="46"/>
  <c r="N97" i="46"/>
  <c r="O97" i="46"/>
  <c r="Q97" i="46"/>
  <c r="P97" i="46"/>
  <c r="P103" i="46" s="1"/>
  <c r="Q129" i="46"/>
  <c r="N129" i="46"/>
  <c r="M129" i="46"/>
  <c r="P129" i="46"/>
  <c r="O129" i="46"/>
  <c r="L129" i="46"/>
  <c r="K129" i="46"/>
  <c r="M31" i="46"/>
  <c r="N31" i="46"/>
  <c r="Q31" i="46"/>
  <c r="O31" i="46"/>
  <c r="P31" i="46"/>
  <c r="L31" i="46"/>
  <c r="K31" i="46"/>
  <c r="Q63" i="46"/>
  <c r="Q66" i="46" s="1"/>
  <c r="K63" i="46"/>
  <c r="N63" i="46"/>
  <c r="O63" i="46"/>
  <c r="P63" i="46"/>
  <c r="L63" i="46"/>
  <c r="M63" i="46"/>
  <c r="Q98" i="46"/>
  <c r="M98" i="46"/>
  <c r="P98" i="46"/>
  <c r="O98" i="46"/>
  <c r="N98" i="46"/>
  <c r="L98" i="46"/>
  <c r="K98" i="46"/>
  <c r="Q134" i="46"/>
  <c r="N134" i="46"/>
  <c r="M134" i="46"/>
  <c r="P134" i="46"/>
  <c r="O134" i="46"/>
  <c r="L134" i="46"/>
  <c r="K134" i="46"/>
  <c r="O32" i="46"/>
  <c r="Q32" i="46"/>
  <c r="Q36" i="46" s="1"/>
  <c r="P32" i="46"/>
  <c r="L32" i="46"/>
  <c r="K32" i="46"/>
  <c r="N32" i="46"/>
  <c r="M32" i="46"/>
  <c r="P64" i="46"/>
  <c r="K64" i="46"/>
  <c r="O64" i="46"/>
  <c r="Q64" i="46"/>
  <c r="N64" i="46"/>
  <c r="M64" i="46"/>
  <c r="L64" i="46"/>
  <c r="Q99" i="46"/>
  <c r="L99" i="46"/>
  <c r="P99" i="46"/>
  <c r="K99" i="46"/>
  <c r="O99" i="46"/>
  <c r="N99" i="46"/>
  <c r="M99" i="46"/>
  <c r="L135" i="46"/>
  <c r="Q135" i="46"/>
  <c r="P135" i="46"/>
  <c r="O135" i="46"/>
  <c r="K135" i="46"/>
  <c r="N135" i="46"/>
  <c r="M135" i="46"/>
  <c r="L33" i="46"/>
  <c r="K33" i="46"/>
  <c r="M33" i="46"/>
  <c r="Q33" i="46"/>
  <c r="N33" i="46"/>
  <c r="P33" i="46"/>
  <c r="O33" i="46"/>
  <c r="N68" i="46"/>
  <c r="O68" i="46"/>
  <c r="Q68" i="46"/>
  <c r="M68" i="46"/>
  <c r="P68" i="46"/>
  <c r="L68" i="46"/>
  <c r="K68" i="46"/>
  <c r="L100" i="46"/>
  <c r="K100" i="46"/>
  <c r="M100" i="46"/>
  <c r="M103" i="46" s="1"/>
  <c r="N100" i="46"/>
  <c r="P100" i="46"/>
  <c r="O100" i="46"/>
  <c r="Q100" i="46"/>
  <c r="L136" i="46"/>
  <c r="K136" i="46"/>
  <c r="M136" i="46"/>
  <c r="O136" i="46"/>
  <c r="N136" i="46"/>
  <c r="P136" i="46"/>
  <c r="Q136" i="46"/>
  <c r="P34" i="46"/>
  <c r="L34" i="46"/>
  <c r="M34" i="46"/>
  <c r="Q34" i="46"/>
  <c r="O34" i="46"/>
  <c r="N34" i="46"/>
  <c r="K34" i="46"/>
  <c r="P69" i="46"/>
  <c r="L69" i="46"/>
  <c r="Q69" i="46"/>
  <c r="K69" i="46"/>
  <c r="O69" i="46"/>
  <c r="N69" i="46"/>
  <c r="M69" i="46"/>
  <c r="Q101" i="46"/>
  <c r="L101" i="46"/>
  <c r="K101" i="46"/>
  <c r="M101" i="46"/>
  <c r="P101" i="46"/>
  <c r="O101" i="46"/>
  <c r="N101" i="46"/>
  <c r="Q137" i="46"/>
  <c r="N137" i="46"/>
  <c r="L137" i="46"/>
  <c r="P137" i="46"/>
  <c r="O137" i="46"/>
  <c r="M137" i="46"/>
  <c r="K137" i="46"/>
  <c r="O38" i="46"/>
  <c r="Q38" i="46"/>
  <c r="P38" i="46"/>
  <c r="K38" i="46"/>
  <c r="L38" i="46"/>
  <c r="N38" i="46"/>
  <c r="M38" i="46"/>
  <c r="L70" i="46"/>
  <c r="K70" i="46"/>
  <c r="M70" i="46"/>
  <c r="O70" i="46"/>
  <c r="Q70" i="46"/>
  <c r="P70" i="46"/>
  <c r="N70" i="46"/>
  <c r="P105" i="46"/>
  <c r="Q105" i="46"/>
  <c r="K105" i="46"/>
  <c r="N105" i="46"/>
  <c r="L105" i="46"/>
  <c r="O105" i="46"/>
  <c r="M105" i="46"/>
  <c r="O141" i="46"/>
  <c r="Q141" i="46"/>
  <c r="P141" i="46"/>
  <c r="N141" i="46"/>
  <c r="K141" i="46"/>
  <c r="M141" i="46"/>
  <c r="L141" i="46"/>
  <c r="N39" i="46"/>
  <c r="Q39" i="46"/>
  <c r="M39" i="46"/>
  <c r="P39" i="46"/>
  <c r="O39" i="46"/>
  <c r="L39" i="46"/>
  <c r="K39" i="46"/>
  <c r="N71" i="46"/>
  <c r="L71" i="46"/>
  <c r="M71" i="46"/>
  <c r="Q71" i="46"/>
  <c r="P71" i="46"/>
  <c r="O71" i="46"/>
  <c r="K71" i="46"/>
  <c r="P106" i="46"/>
  <c r="N106" i="46"/>
  <c r="O106" i="46"/>
  <c r="L106" i="46"/>
  <c r="Q106" i="46"/>
  <c r="M106" i="46"/>
  <c r="K106" i="46"/>
  <c r="L142" i="46"/>
  <c r="N142" i="46"/>
  <c r="Q142" i="46"/>
  <c r="M142" i="46"/>
  <c r="P142" i="46"/>
  <c r="O142" i="46"/>
  <c r="K142" i="46"/>
  <c r="N40" i="46"/>
  <c r="M40" i="46"/>
  <c r="L40" i="46"/>
  <c r="K40" i="46"/>
  <c r="O40" i="46"/>
  <c r="Q40" i="46"/>
  <c r="P40" i="46"/>
  <c r="Q72" i="46"/>
  <c r="O72" i="46"/>
  <c r="K72" i="46"/>
  <c r="P72" i="46"/>
  <c r="N72" i="46"/>
  <c r="M72" i="46"/>
  <c r="L72" i="46"/>
  <c r="P107" i="46"/>
  <c r="O107" i="46"/>
  <c r="N107" i="46"/>
  <c r="M107" i="46"/>
  <c r="L107" i="46"/>
  <c r="K107" i="46"/>
  <c r="Q107" i="46"/>
  <c r="N143" i="46"/>
  <c r="M143" i="46"/>
  <c r="L143" i="46"/>
  <c r="K143" i="46"/>
  <c r="O143" i="46"/>
  <c r="Q143" i="46"/>
  <c r="P143" i="46"/>
  <c r="N41" i="46"/>
  <c r="O41" i="46"/>
  <c r="Q41" i="46"/>
  <c r="P41" i="46"/>
  <c r="M41" i="46"/>
  <c r="K41" i="46"/>
  <c r="L41" i="46"/>
  <c r="P76" i="46"/>
  <c r="N76" i="46"/>
  <c r="K76" i="46"/>
  <c r="O76" i="46"/>
  <c r="Q76" i="46"/>
  <c r="M76" i="46"/>
  <c r="L76" i="46"/>
  <c r="P108" i="46"/>
  <c r="O108" i="46"/>
  <c r="Q108" i="46"/>
  <c r="K108" i="46"/>
  <c r="N108" i="46"/>
  <c r="M108" i="46"/>
  <c r="L108" i="46"/>
  <c r="P144" i="46"/>
  <c r="O144" i="46"/>
  <c r="M144" i="46"/>
  <c r="N144" i="46"/>
  <c r="Q144" i="46"/>
  <c r="L144" i="46"/>
  <c r="K144" i="46"/>
  <c r="P42" i="46"/>
  <c r="M42" i="46"/>
  <c r="Q42" i="46"/>
  <c r="L42" i="46"/>
  <c r="O42" i="46"/>
  <c r="N42" i="46"/>
  <c r="K42" i="46"/>
  <c r="P77" i="46"/>
  <c r="M77" i="46"/>
  <c r="O77" i="46"/>
  <c r="N77" i="46"/>
  <c r="L77" i="46"/>
  <c r="K77" i="46"/>
  <c r="Q77" i="46"/>
  <c r="N112" i="46"/>
  <c r="M112" i="46"/>
  <c r="L112" i="46"/>
  <c r="K112" i="46"/>
  <c r="O112" i="46"/>
  <c r="Q112" i="46"/>
  <c r="P112" i="46"/>
  <c r="M145" i="46"/>
  <c r="Q145" i="46"/>
  <c r="P145" i="46"/>
  <c r="L145" i="46"/>
  <c r="K145" i="46"/>
  <c r="O145" i="46"/>
  <c r="N145" i="46"/>
  <c r="N46" i="46"/>
  <c r="L46" i="46"/>
  <c r="M46" i="46"/>
  <c r="Q46" i="46"/>
  <c r="P46" i="46"/>
  <c r="O46" i="46"/>
  <c r="K46" i="46"/>
  <c r="P78" i="46"/>
  <c r="Q78" i="46"/>
  <c r="L78" i="46"/>
  <c r="K78" i="46"/>
  <c r="M78" i="46"/>
  <c r="O78" i="46"/>
  <c r="N78" i="46"/>
  <c r="P113" i="46"/>
  <c r="N113" i="46"/>
  <c r="Q113" i="46"/>
  <c r="O113" i="46"/>
  <c r="M113" i="46"/>
  <c r="K113" i="46"/>
  <c r="L113" i="46"/>
  <c r="Q22" i="46"/>
  <c r="N22" i="46"/>
  <c r="P22" i="46"/>
  <c r="O22" i="46"/>
  <c r="M22" i="46"/>
  <c r="L22" i="46"/>
  <c r="K22" i="46"/>
  <c r="Q47" i="46"/>
  <c r="P47" i="46"/>
  <c r="N47" i="46"/>
  <c r="K47" i="46"/>
  <c r="O47" i="46"/>
  <c r="M47" i="46"/>
  <c r="L47" i="46"/>
  <c r="O79" i="46"/>
  <c r="N79" i="46"/>
  <c r="Q79" i="46"/>
  <c r="P79" i="46"/>
  <c r="M79" i="46"/>
  <c r="K79" i="46"/>
  <c r="L79" i="46"/>
  <c r="L114" i="46"/>
  <c r="M114" i="46"/>
  <c r="Q114" i="46"/>
  <c r="P114" i="46"/>
  <c r="K114" i="46"/>
  <c r="O114" i="46"/>
  <c r="N114" i="46"/>
  <c r="P57" i="46"/>
  <c r="Q57" i="46"/>
  <c r="L57" i="46"/>
  <c r="K57" i="46"/>
  <c r="O57" i="46"/>
  <c r="N57" i="46"/>
  <c r="M57" i="46"/>
  <c r="Q92" i="46"/>
  <c r="P92" i="46"/>
  <c r="O92" i="46"/>
  <c r="N92" i="46"/>
  <c r="M92" i="46"/>
  <c r="L92" i="46"/>
  <c r="K92" i="46"/>
  <c r="O127" i="46"/>
  <c r="N127" i="46"/>
  <c r="M127" i="46"/>
  <c r="L127" i="46"/>
  <c r="K127" i="46"/>
  <c r="P127" i="46"/>
  <c r="Q127" i="46"/>
  <c r="K48" i="46"/>
  <c r="L48" i="46"/>
  <c r="O48" i="46"/>
  <c r="N48" i="46"/>
  <c r="P48" i="46"/>
  <c r="M48" i="46"/>
  <c r="Q48" i="46"/>
  <c r="O83" i="46"/>
  <c r="N83" i="46"/>
  <c r="Q83" i="46"/>
  <c r="Q88" i="46" s="1"/>
  <c r="P83" i="46"/>
  <c r="L83" i="46"/>
  <c r="K83" i="46"/>
  <c r="M83" i="46"/>
  <c r="M115" i="46"/>
  <c r="L115" i="46"/>
  <c r="K115" i="46"/>
  <c r="N115" i="46"/>
  <c r="Q115" i="46"/>
  <c r="P115" i="46"/>
  <c r="O115" i="46"/>
  <c r="M151" i="46"/>
  <c r="M56" i="46"/>
  <c r="N56" i="46"/>
  <c r="Q56" i="46"/>
  <c r="O56" i="46"/>
  <c r="P56" i="46"/>
  <c r="L56" i="46"/>
  <c r="K56" i="46"/>
  <c r="P91" i="46"/>
  <c r="Q91" i="46"/>
  <c r="L91" i="46"/>
  <c r="M91" i="46"/>
  <c r="O91" i="46"/>
  <c r="K91" i="46"/>
  <c r="N91" i="46"/>
  <c r="M126" i="46"/>
  <c r="N126" i="46"/>
  <c r="O126" i="46"/>
  <c r="K126" i="46"/>
  <c r="Q126" i="46"/>
  <c r="P126" i="46"/>
  <c r="L126" i="46"/>
  <c r="Q49" i="46"/>
  <c r="K49" i="46"/>
  <c r="L49" i="46"/>
  <c r="P49" i="46"/>
  <c r="M49" i="46"/>
  <c r="O49" i="46"/>
  <c r="N49" i="46"/>
  <c r="Q84" i="46"/>
  <c r="M84" i="46"/>
  <c r="L84" i="46"/>
  <c r="P84" i="46"/>
  <c r="O84" i="46"/>
  <c r="N84" i="46"/>
  <c r="K84" i="46"/>
  <c r="K119" i="46"/>
  <c r="Q119" i="46"/>
  <c r="P119" i="46"/>
  <c r="O119" i="46"/>
  <c r="N119" i="46"/>
  <c r="M119" i="46"/>
  <c r="L119" i="46"/>
  <c r="K153" i="46"/>
  <c r="N53" i="46"/>
  <c r="O53" i="46"/>
  <c r="Q53" i="46"/>
  <c r="P53" i="46"/>
  <c r="M53" i="46"/>
  <c r="L53" i="46"/>
  <c r="K53" i="46"/>
  <c r="M85" i="46"/>
  <c r="L85" i="46"/>
  <c r="K85" i="46"/>
  <c r="N85" i="46"/>
  <c r="Q85" i="46"/>
  <c r="P85" i="46"/>
  <c r="O85" i="46"/>
  <c r="K120" i="46"/>
  <c r="Q120" i="46"/>
  <c r="L120" i="46"/>
  <c r="P120" i="46"/>
  <c r="O120" i="46"/>
  <c r="N120" i="46"/>
  <c r="M120" i="46"/>
  <c r="K152" i="46"/>
  <c r="M84" i="51"/>
  <c r="L75" i="51"/>
  <c r="L69" i="51"/>
  <c r="K66" i="51"/>
  <c r="M82" i="51"/>
  <c r="L85" i="51"/>
  <c r="L64" i="51"/>
  <c r="L84" i="51"/>
  <c r="L66" i="51"/>
  <c r="G85" i="51"/>
  <c r="G75" i="51"/>
  <c r="K64" i="51"/>
  <c r="K69" i="51"/>
  <c r="K75" i="51"/>
  <c r="K72" i="51"/>
  <c r="K82" i="51"/>
  <c r="L82" i="51"/>
  <c r="N82" i="51"/>
  <c r="G69" i="51"/>
  <c r="F84" i="51"/>
  <c r="N85" i="51"/>
  <c r="F64" i="51"/>
  <c r="N75" i="51"/>
  <c r="N66" i="51"/>
  <c r="F75" i="51"/>
  <c r="G64" i="51"/>
  <c r="N72" i="51"/>
  <c r="N69" i="51"/>
  <c r="G84" i="51"/>
  <c r="F82" i="51"/>
  <c r="I84" i="51"/>
  <c r="M66" i="51"/>
  <c r="I75" i="51"/>
  <c r="H82" i="51"/>
  <c r="I72" i="51"/>
  <c r="M75" i="51"/>
  <c r="F66" i="51"/>
  <c r="I85" i="51"/>
  <c r="I82" i="51"/>
  <c r="N84" i="51"/>
  <c r="M85" i="51"/>
  <c r="H85" i="51"/>
  <c r="I69" i="51"/>
  <c r="M64" i="51"/>
  <c r="I64" i="51"/>
  <c r="I66" i="51"/>
  <c r="F85" i="51"/>
  <c r="M69" i="51"/>
  <c r="N64" i="51"/>
  <c r="H66" i="51"/>
  <c r="H69" i="51"/>
  <c r="H75" i="51"/>
  <c r="H72" i="51"/>
  <c r="F72" i="51"/>
  <c r="H64" i="51"/>
  <c r="H84" i="51"/>
  <c r="F69" i="51"/>
  <c r="G66" i="51"/>
  <c r="G72" i="51"/>
  <c r="Q147" i="46"/>
  <c r="Q81" i="46"/>
  <c r="Q131" i="46"/>
  <c r="P151" i="46"/>
  <c r="Q151" i="46"/>
  <c r="N151" i="46"/>
  <c r="O151" i="46"/>
  <c r="K16" i="46"/>
  <c r="L16" i="46"/>
  <c r="M16" i="46"/>
  <c r="N16" i="46"/>
  <c r="O16" i="46"/>
  <c r="P16" i="46"/>
  <c r="P124" i="46" l="1"/>
  <c r="K131" i="46"/>
  <c r="M124" i="46"/>
  <c r="O103" i="46"/>
  <c r="Q110" i="46"/>
  <c r="N131" i="46"/>
  <c r="P74" i="46"/>
  <c r="Q117" i="46"/>
  <c r="Q59" i="46"/>
  <c r="K124" i="46"/>
  <c r="P81" i="46"/>
  <c r="N139" i="46"/>
  <c r="P131" i="46"/>
  <c r="O124" i="46"/>
  <c r="P110" i="46"/>
  <c r="O147" i="46"/>
  <c r="P95" i="46"/>
  <c r="Q95" i="46"/>
  <c r="P51" i="46"/>
  <c r="M59" i="46"/>
  <c r="L59" i="46"/>
  <c r="O110" i="46"/>
  <c r="O131" i="46"/>
  <c r="Q74" i="46"/>
  <c r="M51" i="46"/>
  <c r="M131" i="46"/>
  <c r="S131" i="46" s="1"/>
  <c r="L110" i="46"/>
  <c r="K36" i="46"/>
  <c r="O81" i="46"/>
  <c r="Q51" i="46"/>
  <c r="N124" i="46"/>
  <c r="S124" i="46" s="1"/>
  <c r="L147" i="46"/>
  <c r="P59" i="46"/>
  <c r="M147" i="46"/>
  <c r="Q124" i="46"/>
  <c r="M110" i="46"/>
  <c r="O74" i="46"/>
  <c r="L131" i="46"/>
  <c r="K59" i="46"/>
  <c r="K110" i="46"/>
  <c r="N147" i="46"/>
  <c r="M81" i="46"/>
  <c r="N81" i="46"/>
  <c r="N59" i="46"/>
  <c r="N110" i="46"/>
  <c r="Q103" i="46"/>
  <c r="L124" i="46"/>
  <c r="K147" i="46"/>
  <c r="N103" i="46"/>
  <c r="S103" i="46" s="1"/>
  <c r="L44" i="46"/>
  <c r="M117" i="46"/>
  <c r="S117" i="46" s="1"/>
  <c r="O117" i="46"/>
  <c r="L103" i="46"/>
  <c r="P147" i="46"/>
  <c r="O59" i="46"/>
  <c r="K66" i="46"/>
  <c r="L81" i="46"/>
  <c r="L51" i="46"/>
  <c r="N44" i="46"/>
  <c r="K88" i="46"/>
  <c r="N74" i="46"/>
  <c r="O36" i="46"/>
  <c r="P66" i="46"/>
  <c r="O88" i="46"/>
  <c r="O51" i="46"/>
  <c r="O44" i="46"/>
  <c r="N36" i="46"/>
  <c r="P88" i="46"/>
  <c r="N66" i="46"/>
  <c r="O66" i="46"/>
  <c r="L88" i="46"/>
  <c r="K103" i="46"/>
  <c r="K117" i="46"/>
  <c r="M74" i="46"/>
  <c r="L36" i="46"/>
  <c r="K95" i="46"/>
  <c r="L74" i="46"/>
  <c r="K51" i="46"/>
  <c r="P36" i="46"/>
  <c r="M44" i="46"/>
  <c r="S44" i="46" s="1"/>
  <c r="N51" i="46"/>
  <c r="O95" i="46"/>
  <c r="M88" i="46"/>
  <c r="N95" i="46"/>
  <c r="K44" i="46"/>
  <c r="N117" i="46"/>
  <c r="M36" i="46"/>
  <c r="S36" i="46" s="1"/>
  <c r="L95" i="46"/>
  <c r="L117" i="46"/>
  <c r="K74" i="46"/>
  <c r="P117" i="46"/>
  <c r="Q44" i="46"/>
  <c r="M66" i="46"/>
  <c r="S66" i="46" s="1"/>
  <c r="K81" i="46"/>
  <c r="N88" i="46"/>
  <c r="M139" i="46"/>
  <c r="P44" i="46"/>
  <c r="L66" i="46"/>
  <c r="M95" i="46"/>
  <c r="S139" i="46" l="1"/>
  <c r="S59" i="46"/>
  <c r="S51" i="46"/>
  <c r="T51" i="46" s="1"/>
  <c r="S147" i="46"/>
  <c r="S110" i="46"/>
  <c r="S95" i="46"/>
  <c r="S81" i="46"/>
  <c r="S74" i="46"/>
  <c r="S88" i="46"/>
  <c r="K5" i="46" l="1"/>
  <c r="K10" i="46"/>
  <c r="K15" i="46"/>
  <c r="L11" i="46"/>
  <c r="K11" i="46"/>
  <c r="A89" i="40" a="1"/>
  <c r="A89" i="40" s="1"/>
  <c r="L19" i="40"/>
  <c r="L18" i="40"/>
  <c r="L17" i="40"/>
  <c r="L16" i="40"/>
  <c r="B89" i="40" a="1"/>
  <c r="B89" i="40" s="1"/>
  <c r="D73" i="34"/>
  <c r="H17" i="46"/>
  <c r="K17" i="46" s="1"/>
  <c r="Q153" i="46"/>
  <c r="N152" i="46"/>
  <c r="H6" i="46"/>
  <c r="K6" i="46" s="1"/>
  <c r="H7" i="46"/>
  <c r="K25" i="46"/>
  <c r="M25" i="46"/>
  <c r="H24" i="46"/>
  <c r="L24" i="46" s="1"/>
  <c r="H23" i="46"/>
  <c r="K23" i="46" s="1"/>
  <c r="H21" i="46"/>
  <c r="K21" i="46" s="1"/>
  <c r="F25" i="46"/>
  <c r="D25" i="46"/>
  <c r="D23" i="46"/>
  <c r="F23" i="46"/>
  <c r="D24" i="46"/>
  <c r="F24" i="46"/>
  <c r="F21" i="46"/>
  <c r="D21" i="46"/>
  <c r="N7" i="46" l="1"/>
  <c r="K7" i="46"/>
  <c r="L7" i="46"/>
  <c r="L17" i="46"/>
  <c r="L6" i="46"/>
  <c r="M152" i="46"/>
  <c r="Q154" i="46"/>
  <c r="M153" i="46"/>
  <c r="N153" i="46"/>
  <c r="P153" i="46"/>
  <c r="O153" i="46"/>
  <c r="M7" i="46"/>
  <c r="L21" i="46"/>
  <c r="Q24" i="46"/>
  <c r="P24" i="46"/>
  <c r="O24" i="46"/>
  <c r="M24" i="46"/>
  <c r="N21" i="46"/>
  <c r="Q21" i="46"/>
  <c r="N24" i="46"/>
  <c r="K24" i="46"/>
  <c r="K26" i="46" s="1"/>
  <c r="M21" i="46"/>
  <c r="Q23" i="46"/>
  <c r="P23" i="46"/>
  <c r="O21" i="46"/>
  <c r="O23" i="46"/>
  <c r="P21" i="46"/>
  <c r="N23" i="46"/>
  <c r="M23" i="46"/>
  <c r="L23" i="46"/>
  <c r="M154" i="46" l="1"/>
  <c r="P154" i="46"/>
  <c r="O154" i="46"/>
  <c r="N154" i="46"/>
  <c r="P26" i="46"/>
  <c r="L26" i="46"/>
  <c r="M26" i="46"/>
  <c r="Q26" i="46"/>
  <c r="O26" i="46"/>
  <c r="N26" i="46"/>
  <c r="S154" i="46" l="1"/>
  <c r="S26" i="46"/>
  <c r="C40" i="34" l="1" a="1"/>
  <c r="C40" i="34" s="1"/>
  <c r="D40" i="34" a="1"/>
  <c r="D40" i="34" s="1"/>
  <c r="E40" i="34" a="1"/>
  <c r="E40" i="34" s="1"/>
  <c r="C41" i="34" a="1"/>
  <c r="C41" i="34" s="1"/>
  <c r="D41" i="34" a="1"/>
  <c r="D41" i="34" s="1"/>
  <c r="E41" i="34" a="1"/>
  <c r="E41" i="34" s="1"/>
  <c r="C42" i="34" a="1"/>
  <c r="C42" i="34" s="1"/>
  <c r="D42" i="34" a="1"/>
  <c r="D42" i="34" s="1"/>
  <c r="E42" i="34" a="1"/>
  <c r="E42" i="34" s="1"/>
  <c r="C43" i="34" a="1"/>
  <c r="C43" i="34" s="1"/>
  <c r="D43" i="34" a="1"/>
  <c r="D43" i="34" s="1"/>
  <c r="E43" i="34" a="1"/>
  <c r="E43" i="34"/>
  <c r="C44" i="34" a="1"/>
  <c r="C44" i="34"/>
  <c r="D44" i="34" a="1"/>
  <c r="D44" i="34" s="1"/>
  <c r="E44" i="34" a="1"/>
  <c r="E44" i="34" s="1"/>
  <c r="C45" i="34" a="1"/>
  <c r="C45" i="34" s="1"/>
  <c r="D45" i="34" a="1"/>
  <c r="D45" i="34" s="1"/>
  <c r="E45" i="34" a="1"/>
  <c r="E45" i="34" s="1"/>
  <c r="B45" i="34" a="1"/>
  <c r="B45" i="34" s="1"/>
  <c r="B44" i="34" a="1"/>
  <c r="B44" i="34" s="1"/>
  <c r="B43" i="34" a="1"/>
  <c r="B43" i="34" s="1"/>
  <c r="B42" i="34" a="1"/>
  <c r="B42" i="34" s="1"/>
  <c r="B41" i="34" a="1"/>
  <c r="B41" i="34" s="1"/>
  <c r="B40" i="34" a="1"/>
  <c r="B40" i="34" s="1"/>
  <c r="B129" i="34"/>
  <c r="B121" i="34"/>
  <c r="B164" i="34"/>
  <c r="B156" i="34"/>
  <c r="B148" i="34"/>
  <c r="K39" i="30"/>
  <c r="K43" i="30"/>
  <c r="K76" i="30"/>
  <c r="D86" i="34"/>
  <c r="D85" i="34"/>
  <c r="D84" i="34"/>
  <c r="D83" i="34"/>
  <c r="D82" i="34"/>
  <c r="D81" i="34"/>
  <c r="D76" i="34"/>
  <c r="D74" i="34"/>
  <c r="C86" i="34"/>
  <c r="C85" i="34"/>
  <c r="C84" i="34"/>
  <c r="C83" i="34"/>
  <c r="C82" i="34"/>
  <c r="C81" i="34"/>
  <c r="C76" i="34"/>
  <c r="C74" i="34"/>
  <c r="C73" i="34"/>
  <c r="B47" i="34"/>
  <c r="L186" i="8"/>
  <c r="L185" i="8"/>
  <c r="L184" i="8"/>
  <c r="L180" i="8"/>
  <c r="L178" i="8"/>
  <c r="L177" i="8"/>
  <c r="L181" i="8" s="1"/>
  <c r="L174" i="8"/>
  <c r="L168" i="8"/>
  <c r="L167" i="8"/>
  <c r="L166" i="8"/>
  <c r="L151" i="8"/>
  <c r="L150" i="8"/>
  <c r="L146" i="8"/>
  <c r="L142" i="8"/>
  <c r="L138" i="8"/>
  <c r="L133" i="8"/>
  <c r="L129" i="8"/>
  <c r="L125" i="8"/>
  <c r="L103" i="8"/>
  <c r="L102" i="8"/>
  <c r="L98" i="8"/>
  <c r="L97" i="8"/>
  <c r="L94" i="8"/>
  <c r="L93" i="8"/>
  <c r="L95" i="8" s="1"/>
  <c r="L90" i="8"/>
  <c r="L89" i="8"/>
  <c r="L91" i="8" s="1"/>
  <c r="L83" i="8"/>
  <c r="L78" i="8"/>
  <c r="L77" i="8"/>
  <c r="L56" i="8"/>
  <c r="L52" i="8"/>
  <c r="L47" i="8"/>
  <c r="L46" i="8"/>
  <c r="L31" i="8"/>
  <c r="L26" i="8"/>
  <c r="K186" i="8"/>
  <c r="K185" i="8"/>
  <c r="K184" i="8"/>
  <c r="K180" i="8"/>
  <c r="K178" i="8"/>
  <c r="K177" i="8"/>
  <c r="K174" i="8"/>
  <c r="K168" i="8"/>
  <c r="K167" i="8"/>
  <c r="K166" i="8"/>
  <c r="K151" i="8"/>
  <c r="K150" i="8"/>
  <c r="K146" i="8"/>
  <c r="K142" i="8"/>
  <c r="K138" i="8"/>
  <c r="K133" i="8"/>
  <c r="K129" i="8"/>
  <c r="K125" i="8"/>
  <c r="K103" i="8"/>
  <c r="K102" i="8"/>
  <c r="K98" i="8"/>
  <c r="K97" i="8"/>
  <c r="K99" i="8" s="1"/>
  <c r="K94" i="8"/>
  <c r="K93" i="8"/>
  <c r="K95" i="8" s="1"/>
  <c r="K90" i="8"/>
  <c r="K89" i="8"/>
  <c r="K83" i="8"/>
  <c r="K78" i="8"/>
  <c r="K77" i="8"/>
  <c r="K56" i="8"/>
  <c r="K52" i="8"/>
  <c r="K47" i="8"/>
  <c r="K46" i="8"/>
  <c r="K31" i="8"/>
  <c r="K26" i="8"/>
  <c r="K196" i="7"/>
  <c r="K181" i="7"/>
  <c r="K180" i="7"/>
  <c r="K174" i="7"/>
  <c r="K172" i="7"/>
  <c r="K169" i="7"/>
  <c r="K167" i="7"/>
  <c r="K166" i="7"/>
  <c r="K160" i="7"/>
  <c r="K158" i="7"/>
  <c r="K152" i="7"/>
  <c r="K151" i="7"/>
  <c r="K145" i="7"/>
  <c r="K117" i="7"/>
  <c r="K111" i="7"/>
  <c r="K108" i="7"/>
  <c r="K107" i="7"/>
  <c r="K106" i="7"/>
  <c r="K103" i="7"/>
  <c r="K102" i="7"/>
  <c r="K101" i="7"/>
  <c r="K98" i="7"/>
  <c r="K97" i="7"/>
  <c r="K96" i="7"/>
  <c r="K91" i="7"/>
  <c r="K79" i="7"/>
  <c r="K74" i="7"/>
  <c r="K73" i="7"/>
  <c r="K72" i="7"/>
  <c r="K71" i="7"/>
  <c r="K68" i="7"/>
  <c r="K67" i="7"/>
  <c r="K66" i="7"/>
  <c r="K65" i="7"/>
  <c r="K69" i="7" s="1"/>
  <c r="K62" i="7"/>
  <c r="K61" i="7"/>
  <c r="K60" i="7"/>
  <c r="K56" i="7"/>
  <c r="K55" i="7"/>
  <c r="K54" i="7"/>
  <c r="K53" i="7"/>
  <c r="K52" i="7"/>
  <c r="K51" i="7"/>
  <c r="K48" i="7"/>
  <c r="K47" i="7"/>
  <c r="K46" i="7"/>
  <c r="K41" i="7"/>
  <c r="K40" i="7"/>
  <c r="K39" i="7"/>
  <c r="K38" i="7"/>
  <c r="K37" i="7"/>
  <c r="K36" i="7"/>
  <c r="K32" i="7"/>
  <c r="K30" i="7"/>
  <c r="K29" i="7"/>
  <c r="K28" i="7"/>
  <c r="K27" i="7"/>
  <c r="K8" i="7"/>
  <c r="L196" i="7"/>
  <c r="L181" i="7"/>
  <c r="L180" i="7"/>
  <c r="L174" i="7"/>
  <c r="L172" i="7"/>
  <c r="L169" i="7"/>
  <c r="L167" i="7"/>
  <c r="L166" i="7"/>
  <c r="L160" i="7"/>
  <c r="L158" i="7"/>
  <c r="L152" i="7"/>
  <c r="L151" i="7"/>
  <c r="L145" i="7"/>
  <c r="L117" i="7"/>
  <c r="L111" i="7"/>
  <c r="L108" i="7"/>
  <c r="L107" i="7"/>
  <c r="L106" i="7"/>
  <c r="L103" i="7"/>
  <c r="L102" i="7"/>
  <c r="L101" i="7"/>
  <c r="L98" i="7"/>
  <c r="L97" i="7"/>
  <c r="L96" i="7"/>
  <c r="L91" i="7"/>
  <c r="L79" i="7"/>
  <c r="L74" i="7"/>
  <c r="L73" i="7"/>
  <c r="L72" i="7"/>
  <c r="L71" i="7"/>
  <c r="L68" i="7"/>
  <c r="L67" i="7"/>
  <c r="L66" i="7"/>
  <c r="L65" i="7"/>
  <c r="L62" i="7"/>
  <c r="L61" i="7"/>
  <c r="L60" i="7"/>
  <c r="L56" i="7"/>
  <c r="L55" i="7"/>
  <c r="L54" i="7"/>
  <c r="L53" i="7"/>
  <c r="L52" i="7"/>
  <c r="L51" i="7"/>
  <c r="L48" i="7"/>
  <c r="L47" i="7"/>
  <c r="L46" i="7"/>
  <c r="L41" i="7"/>
  <c r="L40" i="7"/>
  <c r="L39" i="7"/>
  <c r="L38" i="7"/>
  <c r="L37" i="7"/>
  <c r="L36" i="7"/>
  <c r="L32" i="7"/>
  <c r="L30" i="7"/>
  <c r="L29" i="7"/>
  <c r="L28" i="7"/>
  <c r="L27" i="7"/>
  <c r="L8" i="7"/>
  <c r="L81" i="5"/>
  <c r="L77" i="5"/>
  <c r="L76" i="5"/>
  <c r="L69" i="5"/>
  <c r="L66" i="5"/>
  <c r="L65" i="5"/>
  <c r="L58" i="5"/>
  <c r="L57" i="5"/>
  <c r="L56" i="5"/>
  <c r="L49" i="5"/>
  <c r="L47" i="5"/>
  <c r="L46" i="5"/>
  <c r="L40" i="5"/>
  <c r="L31" i="5"/>
  <c r="L30" i="5"/>
  <c r="L21" i="5"/>
  <c r="L20" i="5"/>
  <c r="L13" i="5"/>
  <c r="L12" i="5"/>
  <c r="L4" i="5"/>
  <c r="K81" i="5"/>
  <c r="K77" i="5"/>
  <c r="K76" i="5"/>
  <c r="K69" i="5"/>
  <c r="K66" i="5"/>
  <c r="K65" i="5"/>
  <c r="K58" i="5"/>
  <c r="K57" i="5"/>
  <c r="K56" i="5"/>
  <c r="K49" i="5"/>
  <c r="K47" i="5"/>
  <c r="K46" i="5"/>
  <c r="K40" i="5"/>
  <c r="K31" i="5"/>
  <c r="K30" i="5"/>
  <c r="K21" i="5"/>
  <c r="K20" i="5"/>
  <c r="K13" i="5"/>
  <c r="K12" i="5"/>
  <c r="K4" i="5"/>
  <c r="L10" i="11"/>
  <c r="L11" i="11"/>
  <c r="L12" i="11"/>
  <c r="L13" i="11"/>
  <c r="L14" i="11"/>
  <c r="L15" i="11"/>
  <c r="L16" i="11"/>
  <c r="L19" i="11"/>
  <c r="L20" i="11"/>
  <c r="L21" i="11"/>
  <c r="L22" i="11"/>
  <c r="L23" i="11"/>
  <c r="L9" i="11"/>
  <c r="K10" i="11"/>
  <c r="K11" i="11"/>
  <c r="K12" i="11"/>
  <c r="K13" i="11"/>
  <c r="K14" i="11"/>
  <c r="K15" i="11"/>
  <c r="K16" i="11"/>
  <c r="K19" i="11"/>
  <c r="K20" i="11"/>
  <c r="K21" i="11"/>
  <c r="K22" i="11"/>
  <c r="K23" i="11"/>
  <c r="K9" i="11"/>
  <c r="K4" i="11"/>
  <c r="M4" i="11"/>
  <c r="X30" i="31"/>
  <c r="W30" i="31"/>
  <c r="B137" i="34"/>
  <c r="A117" i="34"/>
  <c r="A118" i="34"/>
  <c r="A116" i="34"/>
  <c r="A110" i="34"/>
  <c r="A111" i="34"/>
  <c r="A100" i="34"/>
  <c r="A109" i="34"/>
  <c r="A101" i="34"/>
  <c r="A102" i="34"/>
  <c r="B10" i="38"/>
  <c r="B9" i="38"/>
  <c r="L74" i="30"/>
  <c r="K74" i="30" s="1"/>
  <c r="K278" i="31" s="1"/>
  <c r="L75" i="30"/>
  <c r="K75" i="30" s="1"/>
  <c r="K284" i="31" s="1"/>
  <c r="C45" i="29"/>
  <c r="G75" i="30" s="1"/>
  <c r="F75" i="30" s="1"/>
  <c r="E284" i="31" s="1"/>
  <c r="D271" i="31"/>
  <c r="F284" i="31"/>
  <c r="K104" i="7" l="1"/>
  <c r="K181" i="8"/>
  <c r="K91" i="8"/>
  <c r="L99" i="8"/>
  <c r="K99" i="7"/>
  <c r="L75" i="7"/>
  <c r="M285" i="31" a="1"/>
  <c r="M285" i="31" s="1"/>
  <c r="K285" i="31" s="1"/>
  <c r="L285" i="31" a="1"/>
  <c r="L285" i="31" s="1"/>
  <c r="G285" i="31" a="1"/>
  <c r="G285" i="31" s="1"/>
  <c r="I285" i="31" a="1"/>
  <c r="I285" i="31" s="1"/>
  <c r="K169" i="8"/>
  <c r="L104" i="7"/>
  <c r="K109" i="7"/>
  <c r="L99" i="7"/>
  <c r="K75" i="7"/>
  <c r="K57" i="7"/>
  <c r="L57" i="7"/>
  <c r="L69" i="7"/>
  <c r="L109" i="7"/>
  <c r="L169" i="8"/>
  <c r="C44" i="29"/>
  <c r="G74" i="30" s="1"/>
  <c r="F74" i="30" s="1"/>
  <c r="E278" i="31" s="1"/>
  <c r="C43" i="29"/>
  <c r="G73" i="30" s="1"/>
  <c r="F73" i="30" s="1"/>
  <c r="E272" i="31" s="1"/>
  <c r="C21" i="29"/>
  <c r="C20" i="29"/>
  <c r="G60" i="30"/>
  <c r="G64" i="30"/>
  <c r="G69" i="30"/>
  <c r="G71" i="30"/>
  <c r="B120" i="49"/>
  <c r="B119" i="49"/>
  <c r="B97" i="49"/>
  <c r="B96" i="49"/>
  <c r="B74" i="49"/>
  <c r="B73" i="49"/>
  <c r="B72" i="49"/>
  <c r="B60" i="49"/>
  <c r="B59" i="49"/>
  <c r="B48" i="49"/>
  <c r="B47" i="49"/>
  <c r="B44" i="49"/>
  <c r="B43" i="49"/>
  <c r="B38" i="49"/>
  <c r="B37" i="49"/>
  <c r="B31" i="49"/>
  <c r="B30" i="49"/>
  <c r="B24" i="49"/>
  <c r="B23" i="49"/>
  <c r="B16" i="49"/>
  <c r="B15" i="49"/>
  <c r="B6" i="49"/>
  <c r="B5" i="49"/>
  <c r="B2" i="49" a="1"/>
  <c r="B2" i="49" s="1"/>
  <c r="F278" i="31"/>
  <c r="F272" i="31"/>
  <c r="P285" i="31" l="1"/>
  <c r="X285" i="31"/>
  <c r="W285" i="31"/>
  <c r="Q285" i="31"/>
  <c r="M279" i="31" a="1"/>
  <c r="M279" i="31" s="1"/>
  <c r="K279" i="31" s="1"/>
  <c r="L279" i="31" a="1"/>
  <c r="L279" i="31" s="1"/>
  <c r="M273" i="31" a="1"/>
  <c r="M273" i="31" s="1"/>
  <c r="L273" i="31" a="1"/>
  <c r="L273" i="31" s="1"/>
  <c r="G279" i="31" a="1"/>
  <c r="G279" i="31" s="1"/>
  <c r="G273" i="31" a="1"/>
  <c r="G273" i="31" s="1"/>
  <c r="F285" i="31"/>
  <c r="J285" i="31"/>
  <c r="I279" i="31" a="1"/>
  <c r="I279" i="31" s="1"/>
  <c r="I273" i="31" a="1"/>
  <c r="I273" i="31" s="1"/>
  <c r="A138" i="49"/>
  <c r="A121" i="49"/>
  <c r="AG17" i="37"/>
  <c r="A137" i="49" s="1"/>
  <c r="AG16" i="37"/>
  <c r="A136" i="49" s="1"/>
  <c r="AG15" i="37"/>
  <c r="A135" i="49" s="1"/>
  <c r="AG14" i="37"/>
  <c r="A134" i="49" s="1"/>
  <c r="AG13" i="37"/>
  <c r="A133" i="49" s="1"/>
  <c r="AG12" i="37"/>
  <c r="A132" i="49" s="1"/>
  <c r="AG11" i="37"/>
  <c r="A131" i="49" s="1"/>
  <c r="AG10" i="37"/>
  <c r="A130" i="49" s="1"/>
  <c r="AG9" i="37"/>
  <c r="A129" i="49" s="1"/>
  <c r="AG8" i="37"/>
  <c r="A128" i="49" s="1"/>
  <c r="AG7" i="37"/>
  <c r="A127" i="49" s="1"/>
  <c r="AG6" i="37"/>
  <c r="A126" i="49" s="1"/>
  <c r="AG5" i="37"/>
  <c r="A125" i="49" s="1"/>
  <c r="AG4" i="37"/>
  <c r="A124" i="49" s="1"/>
  <c r="AG3" i="37"/>
  <c r="A123" i="49" s="1"/>
  <c r="AG2" i="37"/>
  <c r="A122" i="49" s="1"/>
  <c r="X279" i="31" l="1"/>
  <c r="W279" i="31"/>
  <c r="Q279" i="31"/>
  <c r="P279" i="31"/>
  <c r="X273" i="31"/>
  <c r="W273" i="31"/>
  <c r="P273" i="31"/>
  <c r="Q273" i="31"/>
  <c r="M286" i="31" a="1"/>
  <c r="M286" i="31" s="1"/>
  <c r="K286" i="31" s="1"/>
  <c r="L286" i="31" a="1"/>
  <c r="L286" i="31" s="1"/>
  <c r="I286" i="31" a="1"/>
  <c r="I286" i="31" s="1"/>
  <c r="J286" i="31" s="1"/>
  <c r="G286" i="31" a="1"/>
  <c r="G286" i="31" s="1"/>
  <c r="F279" i="31"/>
  <c r="J279" i="31"/>
  <c r="F273" i="31"/>
  <c r="J273" i="31"/>
  <c r="B32" i="49"/>
  <c r="B36" i="49"/>
  <c r="Q286" i="31" l="1"/>
  <c r="X286" i="31"/>
  <c r="W286" i="31"/>
  <c r="P286" i="31"/>
  <c r="M280" i="31" a="1"/>
  <c r="M280" i="31" s="1"/>
  <c r="K280" i="31" s="1"/>
  <c r="L280" i="31" a="1"/>
  <c r="L280" i="31" s="1"/>
  <c r="L274" i="31" a="1"/>
  <c r="L274" i="31" s="1"/>
  <c r="M274" i="31" a="1"/>
  <c r="M274" i="31" s="1"/>
  <c r="F286" i="31"/>
  <c r="I280" i="31" a="1"/>
  <c r="I280" i="31" s="1"/>
  <c r="J280" i="31" s="1"/>
  <c r="G280" i="31" a="1"/>
  <c r="G280" i="31" s="1"/>
  <c r="I274" i="31" a="1"/>
  <c r="I274" i="31" s="1"/>
  <c r="F274" i="31" s="1"/>
  <c r="G274" i="31" a="1"/>
  <c r="G274" i="31" s="1"/>
  <c r="B11" i="38"/>
  <c r="O5" i="34"/>
  <c r="W9" i="34"/>
  <c r="J31" i="29" l="1"/>
  <c r="J28" i="29"/>
  <c r="F33" i="32" s="1"/>
  <c r="J33" i="29"/>
  <c r="J32" i="29"/>
  <c r="X280" i="31"/>
  <c r="Q280" i="31"/>
  <c r="W280" i="31"/>
  <c r="P280" i="31"/>
  <c r="P274" i="31"/>
  <c r="Q274" i="31"/>
  <c r="W274" i="31"/>
  <c r="X274" i="31"/>
  <c r="M287" i="31" a="1"/>
  <c r="M287" i="31" s="1"/>
  <c r="K287" i="31" s="1"/>
  <c r="L287" i="31" a="1"/>
  <c r="L287" i="31" s="1"/>
  <c r="L275" i="31" a="1"/>
  <c r="L275" i="31" s="1"/>
  <c r="M275" i="31" a="1"/>
  <c r="M275" i="31" s="1"/>
  <c r="I287" i="31" a="1"/>
  <c r="I287" i="31" s="1"/>
  <c r="F287" i="31" s="1"/>
  <c r="G287" i="31" a="1"/>
  <c r="G287" i="31" s="1"/>
  <c r="F280" i="31"/>
  <c r="I275" i="31" a="1"/>
  <c r="I275" i="31" s="1"/>
  <c r="F275" i="31" s="1"/>
  <c r="G275" i="31" a="1"/>
  <c r="G275" i="31" s="1"/>
  <c r="J274" i="31"/>
  <c r="J30" i="29"/>
  <c r="E33" i="32"/>
  <c r="J18" i="29"/>
  <c r="W287" i="31" l="1"/>
  <c r="Q287" i="31"/>
  <c r="X287" i="31"/>
  <c r="P287" i="31"/>
  <c r="P275" i="31"/>
  <c r="Q275" i="31"/>
  <c r="W275" i="31"/>
  <c r="X275" i="31"/>
  <c r="H288" i="31" a="1"/>
  <c r="H288" i="31" s="1"/>
  <c r="M288" i="31" a="1"/>
  <c r="M288" i="31" s="1"/>
  <c r="K288" i="31" s="1"/>
  <c r="L288" i="31" a="1"/>
  <c r="L288" i="31" s="1"/>
  <c r="L281" i="31" a="1"/>
  <c r="L281" i="31" s="1"/>
  <c r="H276" i="31" a="1"/>
  <c r="H276" i="31" s="1"/>
  <c r="M276" i="31" a="1"/>
  <c r="M276" i="31" s="1"/>
  <c r="L276" i="31" a="1"/>
  <c r="L276" i="31" s="1"/>
  <c r="G288" i="31" a="1"/>
  <c r="G288" i="31" s="1"/>
  <c r="I288" i="31" a="1"/>
  <c r="I288" i="31" s="1"/>
  <c r="J288" i="31" s="1"/>
  <c r="J287" i="31"/>
  <c r="I281" i="31" a="1"/>
  <c r="I281" i="31" s="1"/>
  <c r="F281" i="31" s="1"/>
  <c r="G281" i="31" a="1"/>
  <c r="G281" i="31" s="1"/>
  <c r="I276" i="31" a="1"/>
  <c r="I276" i="31" s="1"/>
  <c r="F276" i="31" s="1"/>
  <c r="G276" i="31" a="1"/>
  <c r="G276" i="31" s="1"/>
  <c r="J275" i="31"/>
  <c r="D17" i="34"/>
  <c r="B14" i="49" s="1"/>
  <c r="W6" i="34"/>
  <c r="B22" i="49"/>
  <c r="B21" i="49"/>
  <c r="B20" i="49"/>
  <c r="B19" i="49"/>
  <c r="B18" i="49"/>
  <c r="B17" i="49"/>
  <c r="B3" i="49"/>
  <c r="C31" i="31"/>
  <c r="X288" i="31" l="1"/>
  <c r="Q288" i="31"/>
  <c r="W288" i="31"/>
  <c r="P288" i="31"/>
  <c r="X281" i="31"/>
  <c r="W281" i="31"/>
  <c r="Q281" i="31"/>
  <c r="P281" i="31"/>
  <c r="P276" i="31"/>
  <c r="Q276" i="31"/>
  <c r="W276" i="31"/>
  <c r="X276" i="31"/>
  <c r="H282" i="31" a="1"/>
  <c r="H282" i="31" s="1"/>
  <c r="M282" i="31" a="1"/>
  <c r="M282" i="31" s="1"/>
  <c r="K282" i="31" s="1"/>
  <c r="L282" i="31" a="1"/>
  <c r="L282" i="31" s="1"/>
  <c r="H277" i="31" a="1"/>
  <c r="H277" i="31" s="1"/>
  <c r="L277" i="31" a="1"/>
  <c r="L277" i="31" s="1"/>
  <c r="M277" i="31" a="1"/>
  <c r="M277" i="31" s="1"/>
  <c r="F288" i="31"/>
  <c r="J281" i="31"/>
  <c r="G282" i="31" a="1"/>
  <c r="G282" i="31" s="1"/>
  <c r="I282" i="31" a="1"/>
  <c r="I282" i="31" s="1"/>
  <c r="J282" i="31" s="1"/>
  <c r="I277" i="31" a="1"/>
  <c r="I277" i="31" s="1"/>
  <c r="F277" i="31" s="1"/>
  <c r="G277" i="31" a="1"/>
  <c r="G277" i="31" s="1"/>
  <c r="J276" i="31"/>
  <c r="A37" i="34"/>
  <c r="R29" i="34" a="1"/>
  <c r="R29" i="34" s="1"/>
  <c r="S29" i="34" a="1"/>
  <c r="S29" i="34" s="1"/>
  <c r="F57" i="34" a="1"/>
  <c r="F57" i="34" s="1"/>
  <c r="F56" i="34" a="1"/>
  <c r="F56" i="34" s="1"/>
  <c r="G56" i="34" a="1"/>
  <c r="G56" i="34" s="1"/>
  <c r="H56" i="34" a="1"/>
  <c r="H56" i="34" s="1"/>
  <c r="P23" i="34"/>
  <c r="O23" i="34"/>
  <c r="P22" i="34"/>
  <c r="O22" i="34"/>
  <c r="X282" i="31" l="1"/>
  <c r="Q282" i="31"/>
  <c r="P282" i="31"/>
  <c r="W282" i="31"/>
  <c r="P277" i="31"/>
  <c r="P272" i="31" s="1"/>
  <c r="Q277" i="31"/>
  <c r="Q272" i="31" s="1"/>
  <c r="W277" i="31"/>
  <c r="W272" i="31" s="1"/>
  <c r="X277" i="31"/>
  <c r="X272" i="31" s="1"/>
  <c r="I289" i="31" a="1"/>
  <c r="I289" i="31" s="1"/>
  <c r="F289" i="31" s="1"/>
  <c r="M289" i="31" a="1"/>
  <c r="M289" i="31" s="1"/>
  <c r="K289" i="31" s="1"/>
  <c r="L289" i="31" a="1"/>
  <c r="L289" i="31" s="1"/>
  <c r="G289" i="31" a="1"/>
  <c r="G289" i="31" s="1"/>
  <c r="H289" i="31" a="1"/>
  <c r="H289" i="31" s="1"/>
  <c r="F282" i="31"/>
  <c r="J277" i="31"/>
  <c r="M6" i="46"/>
  <c r="E81" i="34"/>
  <c r="E82" i="34"/>
  <c r="E83" i="34"/>
  <c r="E84" i="34"/>
  <c r="E85" i="34"/>
  <c r="E86" i="34"/>
  <c r="O19" i="34"/>
  <c r="F91" i="7"/>
  <c r="O91" i="7"/>
  <c r="M91" i="7"/>
  <c r="N91" i="7"/>
  <c r="P91" i="7"/>
  <c r="Q91" i="7"/>
  <c r="Q196" i="7"/>
  <c r="P196" i="7"/>
  <c r="O196" i="7"/>
  <c r="N196" i="7"/>
  <c r="M196" i="7"/>
  <c r="L78" i="30" a="1"/>
  <c r="L78" i="30" s="1"/>
  <c r="K78" i="30" s="1"/>
  <c r="H54" i="34"/>
  <c r="G54" i="34"/>
  <c r="C64" i="34" a="1"/>
  <c r="C64" i="34" s="1"/>
  <c r="D64" i="34" a="1"/>
  <c r="D64" i="34" s="1"/>
  <c r="E64" i="34" a="1"/>
  <c r="E64" i="34" s="1"/>
  <c r="B64" i="34" a="1"/>
  <c r="B64" i="34" s="1"/>
  <c r="E62" i="34" a="1"/>
  <c r="E62" i="34" s="1"/>
  <c r="D62" i="34" a="1"/>
  <c r="D62" i="34" s="1"/>
  <c r="C62" i="34" a="1"/>
  <c r="C62" i="34" s="1"/>
  <c r="N29" i="34"/>
  <c r="E74" i="34"/>
  <c r="E76" i="34"/>
  <c r="E73" i="34"/>
  <c r="A95" i="34"/>
  <c r="G47" i="33"/>
  <c r="G48" i="33"/>
  <c r="G49" i="33"/>
  <c r="E104" i="34"/>
  <c r="E100" i="34" s="1"/>
  <c r="H42" i="33"/>
  <c r="Q15" i="46"/>
  <c r="P15" i="46"/>
  <c r="M15" i="46"/>
  <c r="F15" i="46"/>
  <c r="D15" i="46"/>
  <c r="H285" i="31" s="1" a="1"/>
  <c r="H285" i="31" s="1"/>
  <c r="H286" i="31" a="1"/>
  <c r="H286" i="31" s="1"/>
  <c r="D11" i="46"/>
  <c r="H280" i="31" s="1" a="1"/>
  <c r="H280" i="31" s="1"/>
  <c r="F11" i="46"/>
  <c r="M11" i="46"/>
  <c r="O11" i="46"/>
  <c r="Q11" i="46"/>
  <c r="M5" i="46"/>
  <c r="Q10" i="46"/>
  <c r="P10" i="46"/>
  <c r="M10" i="46"/>
  <c r="F10" i="46"/>
  <c r="D10" i="46"/>
  <c r="H279" i="31" s="1" a="1"/>
  <c r="H279" i="31" s="1"/>
  <c r="F5" i="46"/>
  <c r="D5" i="46"/>
  <c r="H273" i="31" s="1" a="1"/>
  <c r="H273" i="31" s="1"/>
  <c r="H12" i="46"/>
  <c r="D6" i="46"/>
  <c r="H275" i="31" s="1" a="1"/>
  <c r="H275" i="31" s="1"/>
  <c r="F6" i="46"/>
  <c r="P289" i="31" l="1"/>
  <c r="P284" i="31" s="1"/>
  <c r="X289" i="31"/>
  <c r="X284" i="31" s="1"/>
  <c r="W289" i="31"/>
  <c r="W284" i="31" s="1"/>
  <c r="Q289" i="31"/>
  <c r="Q284" i="31" s="1"/>
  <c r="H274" i="31" a="1"/>
  <c r="H274" i="31" s="1"/>
  <c r="O12" i="46"/>
  <c r="L12" i="46"/>
  <c r="K12" i="46"/>
  <c r="M281" i="31" a="1"/>
  <c r="M281" i="31" s="1"/>
  <c r="K281" i="31" s="1"/>
  <c r="H283" i="31" a="1"/>
  <c r="H283" i="31" s="1"/>
  <c r="I283" i="31" a="1"/>
  <c r="I283" i="31" s="1"/>
  <c r="F283" i="31" s="1"/>
  <c r="J289" i="31"/>
  <c r="G283" i="31" a="1"/>
  <c r="G283" i="31" s="1"/>
  <c r="L283" i="31" a="1"/>
  <c r="L283" i="31" s="1"/>
  <c r="M283" i="31" a="1"/>
  <c r="M283" i="31" s="1"/>
  <c r="K283" i="31" s="1"/>
  <c r="Q25" i="34" a="1"/>
  <c r="Q25" i="34" s="1"/>
  <c r="Q29" i="34" s="1" a="1"/>
  <c r="Q29" i="34" s="1"/>
  <c r="Q24" i="34"/>
  <c r="I16" i="29"/>
  <c r="L81" i="30" a="1"/>
  <c r="L81" i="30" s="1"/>
  <c r="L79" i="30" a="1"/>
  <c r="L79" i="30" s="1"/>
  <c r="L80" i="30" a="1"/>
  <c r="L80" i="30" s="1"/>
  <c r="L83" i="30" a="1"/>
  <c r="L83" i="30" s="1"/>
  <c r="L82" i="30" a="1"/>
  <c r="L82" i="30" s="1"/>
  <c r="I47" i="33" a="1"/>
  <c r="I47" i="33" s="1"/>
  <c r="S91" i="7"/>
  <c r="O6" i="34"/>
  <c r="B58" i="34"/>
  <c r="D58" i="34"/>
  <c r="E58" i="34"/>
  <c r="C58" i="34"/>
  <c r="E102" i="34"/>
  <c r="F102" i="34" s="1"/>
  <c r="E101" i="34"/>
  <c r="F101" i="34" s="1"/>
  <c r="F100" i="34"/>
  <c r="P11" i="46"/>
  <c r="N11" i="46"/>
  <c r="P6" i="46"/>
  <c r="Q6" i="46"/>
  <c r="O6" i="46"/>
  <c r="N6" i="46"/>
  <c r="X283" i="31" l="1"/>
  <c r="X278" i="31" s="1"/>
  <c r="X271" i="31" s="1"/>
  <c r="P283" i="31"/>
  <c r="P278" i="31" s="1"/>
  <c r="P271" i="31" s="1"/>
  <c r="W283" i="31"/>
  <c r="Q283" i="31"/>
  <c r="Q278" i="31" s="1"/>
  <c r="Q271" i="31" s="1"/>
  <c r="J283" i="31"/>
  <c r="K83" i="30"/>
  <c r="K80" i="30"/>
  <c r="B13" i="34" s="1"/>
  <c r="C13" i="34" s="1"/>
  <c r="K79" i="30"/>
  <c r="B12" i="34" s="1"/>
  <c r="C12" i="34" s="1"/>
  <c r="K82" i="30"/>
  <c r="B15" i="34" s="1"/>
  <c r="C15" i="34" s="1"/>
  <c r="K81" i="30"/>
  <c r="B14" i="34" s="1"/>
  <c r="C14" i="34" s="1"/>
  <c r="E95" i="34" a="1"/>
  <c r="E95" i="34" s="1"/>
  <c r="E39" i="34" s="1"/>
  <c r="D95" i="34" a="1"/>
  <c r="D95" i="34" s="1"/>
  <c r="D39" i="34" s="1"/>
  <c r="B95" i="34" a="1"/>
  <c r="B95" i="34" s="1"/>
  <c r="B39" i="34" s="1"/>
  <c r="C95" i="34" a="1"/>
  <c r="C95" i="34" s="1"/>
  <c r="B16" i="34" l="1"/>
  <c r="C16" i="34" s="1"/>
  <c r="W278" i="31"/>
  <c r="W271" i="31" s="1"/>
  <c r="C39" i="34"/>
  <c r="L77" i="30" s="1" a="1"/>
  <c r="L77" i="30" s="1"/>
  <c r="K77" i="30" s="1"/>
  <c r="B56" i="34"/>
  <c r="F17" i="46"/>
  <c r="D17" i="46"/>
  <c r="H287" i="31" s="1" a="1"/>
  <c r="H287" i="31" s="1"/>
  <c r="D272" i="31"/>
  <c r="D278" i="31"/>
  <c r="D284" i="31"/>
  <c r="H205" i="7"/>
  <c r="F205" i="7"/>
  <c r="D205" i="7"/>
  <c r="D192" i="7"/>
  <c r="H192" i="7"/>
  <c r="Q192" i="7" s="1"/>
  <c r="F192" i="7"/>
  <c r="D42" i="33"/>
  <c r="O17" i="46"/>
  <c r="M12" i="46"/>
  <c r="F12" i="46"/>
  <c r="D12" i="46"/>
  <c r="H281" i="31" s="1" a="1"/>
  <c r="H281" i="31" s="1"/>
  <c r="P7" i="46"/>
  <c r="D14" i="33"/>
  <c r="P192" i="7" l="1"/>
  <c r="L192" i="7"/>
  <c r="K192" i="7"/>
  <c r="Q205" i="7"/>
  <c r="L205" i="7"/>
  <c r="K205" i="7"/>
  <c r="M192" i="7"/>
  <c r="N192" i="7"/>
  <c r="O205" i="7"/>
  <c r="O192" i="7"/>
  <c r="P205" i="7"/>
  <c r="M17" i="46"/>
  <c r="P17" i="46"/>
  <c r="P18" i="46" s="1"/>
  <c r="N12" i="46"/>
  <c r="Q7" i="46"/>
  <c r="P12" i="46"/>
  <c r="Q12" i="46"/>
  <c r="Q17" i="46"/>
  <c r="Q18" i="46" s="1"/>
  <c r="O18" i="46"/>
  <c r="M205" i="7"/>
  <c r="N205" i="7"/>
  <c r="M13" i="46"/>
  <c r="N17" i="46"/>
  <c r="M8" i="46"/>
  <c r="O7" i="46"/>
  <c r="Q103" i="7"/>
  <c r="P103" i="7"/>
  <c r="O103" i="7"/>
  <c r="N103" i="7"/>
  <c r="M103" i="7"/>
  <c r="F103" i="7"/>
  <c r="D103" i="7"/>
  <c r="Q102" i="7"/>
  <c r="P102" i="7"/>
  <c r="O102" i="7"/>
  <c r="N102" i="7"/>
  <c r="M102" i="7"/>
  <c r="F102" i="7"/>
  <c r="D102" i="7"/>
  <c r="Q101" i="7"/>
  <c r="P101" i="7"/>
  <c r="O101" i="7"/>
  <c r="N101" i="7"/>
  <c r="M101" i="7"/>
  <c r="F101" i="7"/>
  <c r="D101" i="7"/>
  <c r="Q108" i="7"/>
  <c r="P108" i="7"/>
  <c r="O108" i="7"/>
  <c r="N108" i="7"/>
  <c r="M108" i="7"/>
  <c r="F108" i="7"/>
  <c r="D108" i="7"/>
  <c r="Q107" i="7"/>
  <c r="P107" i="7"/>
  <c r="O107" i="7"/>
  <c r="N107" i="7"/>
  <c r="M107" i="7"/>
  <c r="F107" i="7"/>
  <c r="D107" i="7"/>
  <c r="Q106" i="7"/>
  <c r="P106" i="7"/>
  <c r="O106" i="7"/>
  <c r="N106" i="7"/>
  <c r="M106" i="7"/>
  <c r="F106" i="7"/>
  <c r="D106" i="7"/>
  <c r="L65" i="30"/>
  <c r="K65" i="30" s="1"/>
  <c r="F10" i="11"/>
  <c r="F11" i="11"/>
  <c r="F12" i="11"/>
  <c r="F13" i="11"/>
  <c r="F14" i="11"/>
  <c r="F15" i="11"/>
  <c r="F16" i="11"/>
  <c r="F9" i="11"/>
  <c r="F20" i="11"/>
  <c r="F21" i="11"/>
  <c r="F22" i="11"/>
  <c r="F23" i="11"/>
  <c r="F19" i="11"/>
  <c r="H79" i="8"/>
  <c r="F79" i="8"/>
  <c r="D79" i="8"/>
  <c r="Q78" i="8"/>
  <c r="P78" i="8"/>
  <c r="O78" i="8"/>
  <c r="N78" i="8"/>
  <c r="M78" i="8"/>
  <c r="Q77" i="8"/>
  <c r="P77" i="8"/>
  <c r="O77" i="8"/>
  <c r="N77" i="8"/>
  <c r="M77" i="8"/>
  <c r="M79" i="8" l="1"/>
  <c r="M80" i="8" s="1"/>
  <c r="K79" i="8"/>
  <c r="K80" i="8" s="1"/>
  <c r="L79" i="8"/>
  <c r="L80" i="8" s="1"/>
  <c r="M18" i="46"/>
  <c r="M104" i="7"/>
  <c r="O104" i="7"/>
  <c r="Q104" i="7"/>
  <c r="Q13" i="46"/>
  <c r="P13" i="46"/>
  <c r="O8" i="46"/>
  <c r="O13" i="46"/>
  <c r="N13" i="46"/>
  <c r="N18" i="46"/>
  <c r="P5" i="46"/>
  <c r="P8" i="46" s="1"/>
  <c r="Q5" i="46"/>
  <c r="Q8" i="46" s="1"/>
  <c r="N104" i="7"/>
  <c r="P104" i="7"/>
  <c r="M109" i="7"/>
  <c r="N109" i="7"/>
  <c r="O109" i="7"/>
  <c r="P109" i="7"/>
  <c r="Q109" i="7"/>
  <c r="Q79" i="8"/>
  <c r="Q80" i="8" s="1"/>
  <c r="N79" i="8"/>
  <c r="N80" i="8" s="1"/>
  <c r="O79" i="8"/>
  <c r="O80" i="8" s="1"/>
  <c r="P79" i="8"/>
  <c r="P80" i="8" s="1"/>
  <c r="S18" i="46" l="1"/>
  <c r="S13" i="46"/>
  <c r="S80" i="8"/>
  <c r="S104" i="7"/>
  <c r="N8" i="46"/>
  <c r="S109" i="7"/>
  <c r="X5" i="10"/>
  <c r="AA6" i="37"/>
  <c r="AA7" i="37"/>
  <c r="AA8" i="37"/>
  <c r="AA9" i="37"/>
  <c r="AA12" i="37"/>
  <c r="B2" i="37" a="1"/>
  <c r="B2" i="37" s="1"/>
  <c r="W1" i="37"/>
  <c r="V1" i="37"/>
  <c r="R47" i="37"/>
  <c r="S47" i="37" s="1"/>
  <c r="R48" i="37"/>
  <c r="S48" i="37" s="1"/>
  <c r="R49" i="37"/>
  <c r="S49" i="37" s="1"/>
  <c r="R50" i="37"/>
  <c r="S50" i="37" s="1"/>
  <c r="R51" i="37"/>
  <c r="S51" i="37" s="1"/>
  <c r="R52" i="37"/>
  <c r="S52" i="37" s="1"/>
  <c r="R53" i="37"/>
  <c r="S53" i="37" s="1"/>
  <c r="R54" i="37"/>
  <c r="S54" i="37" s="1"/>
  <c r="R55" i="37"/>
  <c r="S55" i="37" s="1"/>
  <c r="R56" i="37"/>
  <c r="S56" i="37" s="1"/>
  <c r="R57" i="37"/>
  <c r="S57" i="37" s="1"/>
  <c r="R58" i="37"/>
  <c r="S58" i="37" s="1"/>
  <c r="R59" i="37"/>
  <c r="S59" i="37" s="1"/>
  <c r="R60" i="37"/>
  <c r="S60" i="37" s="1"/>
  <c r="R61" i="37"/>
  <c r="S61" i="37" s="1"/>
  <c r="R62" i="37"/>
  <c r="S62" i="37" s="1"/>
  <c r="R63" i="37"/>
  <c r="S63" i="37" s="1"/>
  <c r="R64" i="37"/>
  <c r="S64" i="37" s="1"/>
  <c r="R65" i="37"/>
  <c r="S65" i="37" s="1"/>
  <c r="R66" i="37"/>
  <c r="S66" i="37" s="1"/>
  <c r="R67" i="37"/>
  <c r="S67" i="37" s="1"/>
  <c r="R68" i="37"/>
  <c r="S68" i="37" s="1"/>
  <c r="R69" i="37"/>
  <c r="S69" i="37" s="1"/>
  <c r="R70" i="37"/>
  <c r="S70" i="37" s="1"/>
  <c r="R71" i="37"/>
  <c r="S71" i="37" s="1"/>
  <c r="R72" i="37"/>
  <c r="S72" i="37" s="1"/>
  <c r="R73" i="37"/>
  <c r="S73" i="37" s="1"/>
  <c r="R74" i="37"/>
  <c r="S74" i="37" s="1"/>
  <c r="R75" i="37"/>
  <c r="S75" i="37" s="1"/>
  <c r="R76" i="37"/>
  <c r="S76" i="37" s="1"/>
  <c r="R77" i="37"/>
  <c r="S77" i="37" s="1"/>
  <c r="R78" i="37"/>
  <c r="S78" i="37" s="1"/>
  <c r="R79" i="37"/>
  <c r="S79" i="37" s="1"/>
  <c r="R80" i="37"/>
  <c r="S80" i="37" s="1"/>
  <c r="R81" i="37"/>
  <c r="S81" i="37" s="1"/>
  <c r="R82" i="37"/>
  <c r="S82" i="37" s="1"/>
  <c r="R83" i="37"/>
  <c r="S83" i="37" s="1"/>
  <c r="R84" i="37"/>
  <c r="S84" i="37" s="1"/>
  <c r="R85" i="37"/>
  <c r="S85" i="37" s="1"/>
  <c r="R86" i="37"/>
  <c r="S86" i="37" s="1"/>
  <c r="R87" i="37"/>
  <c r="S87" i="37" s="1"/>
  <c r="R88" i="37"/>
  <c r="S88" i="37" s="1"/>
  <c r="R89" i="37"/>
  <c r="S89" i="37" s="1"/>
  <c r="R90" i="37"/>
  <c r="S90" i="37" s="1"/>
  <c r="R91" i="37"/>
  <c r="S91" i="37" s="1"/>
  <c r="R92" i="37"/>
  <c r="S92" i="37" s="1"/>
  <c r="R93" i="37"/>
  <c r="S93" i="37" s="1"/>
  <c r="R94" i="37"/>
  <c r="S94" i="37" s="1"/>
  <c r="R95" i="37"/>
  <c r="S95" i="37" s="1"/>
  <c r="R96" i="37"/>
  <c r="S96" i="37" s="1"/>
  <c r="R97" i="37"/>
  <c r="S97" i="37" s="1"/>
  <c r="R98" i="37"/>
  <c r="S98" i="37" s="1"/>
  <c r="R99" i="37"/>
  <c r="S99" i="37" s="1"/>
  <c r="R100" i="37"/>
  <c r="S100" i="37" s="1"/>
  <c r="R101" i="37"/>
  <c r="S101" i="37" s="1"/>
  <c r="R102" i="37"/>
  <c r="S102" i="37" s="1"/>
  <c r="R103" i="37"/>
  <c r="S103" i="37" s="1"/>
  <c r="R104" i="37"/>
  <c r="S104" i="37" s="1"/>
  <c r="R105" i="37"/>
  <c r="S105" i="37" s="1"/>
  <c r="R106" i="37"/>
  <c r="S106" i="37" s="1"/>
  <c r="R107" i="37"/>
  <c r="S107" i="37" s="1"/>
  <c r="R108" i="37"/>
  <c r="S108" i="37" s="1"/>
  <c r="R109" i="37"/>
  <c r="S109" i="37" s="1"/>
  <c r="R110" i="37"/>
  <c r="S110" i="37" s="1"/>
  <c r="R111" i="37"/>
  <c r="S111" i="37" s="1"/>
  <c r="R112" i="37"/>
  <c r="S112" i="37" s="1"/>
  <c r="R113" i="37"/>
  <c r="S113" i="37" s="1"/>
  <c r="R114" i="37"/>
  <c r="S114" i="37" s="1"/>
  <c r="R115" i="37"/>
  <c r="S115" i="37" s="1"/>
  <c r="R116" i="37"/>
  <c r="S116" i="37" s="1"/>
  <c r="R117" i="37"/>
  <c r="S117" i="37" s="1"/>
  <c r="R118" i="37"/>
  <c r="S118" i="37" s="1"/>
  <c r="R119" i="37"/>
  <c r="S119" i="37" s="1"/>
  <c r="R120" i="37"/>
  <c r="S120" i="37" s="1"/>
  <c r="R121" i="37"/>
  <c r="S121" i="37" s="1"/>
  <c r="R122" i="37"/>
  <c r="S122" i="37" s="1"/>
  <c r="R123" i="37"/>
  <c r="S123" i="37" s="1"/>
  <c r="R124" i="37"/>
  <c r="S124" i="37" s="1"/>
  <c r="R125" i="37"/>
  <c r="S125" i="37" s="1"/>
  <c r="R126" i="37"/>
  <c r="S126" i="37" s="1"/>
  <c r="R127" i="37"/>
  <c r="S127" i="37" s="1"/>
  <c r="R128" i="37"/>
  <c r="S128" i="37" s="1"/>
  <c r="R129" i="37"/>
  <c r="S129" i="37" s="1"/>
  <c r="R130" i="37"/>
  <c r="S130" i="37" s="1"/>
  <c r="R131" i="37"/>
  <c r="S131" i="37" s="1"/>
  <c r="R132" i="37"/>
  <c r="S132" i="37" s="1"/>
  <c r="R133" i="37"/>
  <c r="S133" i="37" s="1"/>
  <c r="R134" i="37"/>
  <c r="S134" i="37" s="1"/>
  <c r="R135" i="37"/>
  <c r="S135" i="37" s="1"/>
  <c r="R136" i="37"/>
  <c r="S136" i="37" s="1"/>
  <c r="R137" i="37"/>
  <c r="S137" i="37" s="1"/>
  <c r="R138" i="37"/>
  <c r="S138" i="37" s="1"/>
  <c r="R139" i="37"/>
  <c r="S139" i="37" s="1"/>
  <c r="R140" i="37"/>
  <c r="S140" i="37" s="1"/>
  <c r="R141" i="37"/>
  <c r="S141" i="37" s="1"/>
  <c r="R142" i="37"/>
  <c r="S142" i="37" s="1"/>
  <c r="R143" i="37"/>
  <c r="S143" i="37" s="1"/>
  <c r="R144" i="37"/>
  <c r="S144" i="37" s="1"/>
  <c r="R145" i="37"/>
  <c r="S145" i="37" s="1"/>
  <c r="R146" i="37"/>
  <c r="S146" i="37" s="1"/>
  <c r="R147" i="37"/>
  <c r="S147" i="37" s="1"/>
  <c r="R148" i="37"/>
  <c r="S148" i="37" s="1"/>
  <c r="R149" i="37"/>
  <c r="S149" i="37" s="1"/>
  <c r="R150" i="37"/>
  <c r="S150" i="37" s="1"/>
  <c r="R151" i="37"/>
  <c r="S151" i="37" s="1"/>
  <c r="R152" i="37"/>
  <c r="S152" i="37" s="1"/>
  <c r="R153" i="37"/>
  <c r="S153" i="37" s="1"/>
  <c r="R154" i="37"/>
  <c r="S154" i="37" s="1"/>
  <c r="R155" i="37"/>
  <c r="S155" i="37" s="1"/>
  <c r="R156" i="37"/>
  <c r="S156" i="37" s="1"/>
  <c r="R157" i="37"/>
  <c r="S157" i="37" s="1"/>
  <c r="R158" i="37"/>
  <c r="S158" i="37" s="1"/>
  <c r="R159" i="37"/>
  <c r="S159" i="37" s="1"/>
  <c r="R160" i="37"/>
  <c r="S160" i="37" s="1"/>
  <c r="R161" i="37"/>
  <c r="S161" i="37" s="1"/>
  <c r="R162" i="37"/>
  <c r="S162" i="37" s="1"/>
  <c r="R163" i="37"/>
  <c r="S163" i="37" s="1"/>
  <c r="R164" i="37"/>
  <c r="S164" i="37" s="1"/>
  <c r="R165" i="37"/>
  <c r="S165" i="37" s="1"/>
  <c r="R166" i="37"/>
  <c r="S166" i="37" s="1"/>
  <c r="R167" i="37"/>
  <c r="S167" i="37" s="1"/>
  <c r="R168" i="37"/>
  <c r="S168" i="37" s="1"/>
  <c r="R169" i="37"/>
  <c r="S169" i="37" s="1"/>
  <c r="R170" i="37"/>
  <c r="S170" i="37" s="1"/>
  <c r="R171" i="37"/>
  <c r="S171" i="37" s="1"/>
  <c r="R172" i="37"/>
  <c r="S172" i="37" s="1"/>
  <c r="R173" i="37"/>
  <c r="S173" i="37" s="1"/>
  <c r="R174" i="37"/>
  <c r="S174" i="37" s="1"/>
  <c r="R175" i="37"/>
  <c r="S175" i="37" s="1"/>
  <c r="R176" i="37"/>
  <c r="S176" i="37" s="1"/>
  <c r="R177" i="37"/>
  <c r="S177" i="37" s="1"/>
  <c r="R178" i="37"/>
  <c r="S178" i="37" s="1"/>
  <c r="R179" i="37"/>
  <c r="S179" i="37" s="1"/>
  <c r="R180" i="37"/>
  <c r="S180" i="37" s="1"/>
  <c r="R181" i="37"/>
  <c r="S181" i="37" s="1"/>
  <c r="R182" i="37"/>
  <c r="S182" i="37" s="1"/>
  <c r="R183" i="37"/>
  <c r="S183" i="37" s="1"/>
  <c r="R184" i="37"/>
  <c r="S184" i="37" s="1"/>
  <c r="R185" i="37"/>
  <c r="S185" i="37" s="1"/>
  <c r="R186" i="37"/>
  <c r="S186" i="37" s="1"/>
  <c r="R187" i="37"/>
  <c r="S187" i="37" s="1"/>
  <c r="R188" i="37"/>
  <c r="S188" i="37" s="1"/>
  <c r="R189" i="37"/>
  <c r="S189" i="37" s="1"/>
  <c r="R190" i="37"/>
  <c r="S190" i="37" s="1"/>
  <c r="R191" i="37"/>
  <c r="S191" i="37" s="1"/>
  <c r="R192" i="37"/>
  <c r="S192" i="37" s="1"/>
  <c r="R193" i="37"/>
  <c r="S193" i="37" s="1"/>
  <c r="R194" i="37"/>
  <c r="S194" i="37" s="1"/>
  <c r="R195" i="37"/>
  <c r="S195" i="37" s="1"/>
  <c r="R196" i="37"/>
  <c r="S196" i="37" s="1"/>
  <c r="R197" i="37"/>
  <c r="S197" i="37" s="1"/>
  <c r="R198" i="37"/>
  <c r="S198" i="37" s="1"/>
  <c r="R199" i="37"/>
  <c r="S199" i="37" s="1"/>
  <c r="R200" i="37"/>
  <c r="S200" i="37" s="1"/>
  <c r="R201" i="37"/>
  <c r="S201" i="37" s="1"/>
  <c r="R202" i="37"/>
  <c r="S202" i="37" s="1"/>
  <c r="R203" i="37"/>
  <c r="S203" i="37" s="1"/>
  <c r="R204" i="37"/>
  <c r="S204" i="37" s="1"/>
  <c r="R205" i="37"/>
  <c r="S205" i="37" s="1"/>
  <c r="R206" i="37"/>
  <c r="S206" i="37" s="1"/>
  <c r="R207" i="37"/>
  <c r="S207" i="37" s="1"/>
  <c r="R208" i="37"/>
  <c r="S208" i="37" s="1"/>
  <c r="R209" i="37"/>
  <c r="S209" i="37" s="1"/>
  <c r="R210" i="37"/>
  <c r="S210" i="37" s="1"/>
  <c r="R211" i="37"/>
  <c r="S211" i="37" s="1"/>
  <c r="R212" i="37"/>
  <c r="S212" i="37" s="1"/>
  <c r="R213" i="37"/>
  <c r="S213" i="37" s="1"/>
  <c r="R214" i="37"/>
  <c r="S214" i="37" s="1"/>
  <c r="R215" i="37"/>
  <c r="S215" i="37" s="1"/>
  <c r="R216" i="37"/>
  <c r="S216" i="37" s="1"/>
  <c r="R217" i="37"/>
  <c r="S217" i="37" s="1"/>
  <c r="R218" i="37"/>
  <c r="S218" i="37" s="1"/>
  <c r="R219" i="37"/>
  <c r="S219" i="37" s="1"/>
  <c r="R220" i="37"/>
  <c r="S220" i="37" s="1"/>
  <c r="R221" i="37"/>
  <c r="S221" i="37" s="1"/>
  <c r="R222" i="37"/>
  <c r="S222" i="37" s="1"/>
  <c r="R223" i="37"/>
  <c r="S223" i="37" s="1"/>
  <c r="F119" i="8"/>
  <c r="D119" i="8"/>
  <c r="F114" i="8"/>
  <c r="D114" i="8"/>
  <c r="F53" i="8"/>
  <c r="D53" i="8"/>
  <c r="F52" i="8"/>
  <c r="D52" i="8"/>
  <c r="F51" i="8"/>
  <c r="D51" i="8"/>
  <c r="F50" i="8"/>
  <c r="D50" i="8"/>
  <c r="F36" i="8"/>
  <c r="D36" i="8"/>
  <c r="F35" i="8"/>
  <c r="D35" i="8"/>
  <c r="F32" i="8"/>
  <c r="D32" i="8"/>
  <c r="F31" i="8"/>
  <c r="D31" i="8"/>
  <c r="F30" i="8"/>
  <c r="D30" i="8"/>
  <c r="F11" i="8"/>
  <c r="D11" i="8"/>
  <c r="F10" i="8"/>
  <c r="D10" i="8"/>
  <c r="G32" i="30"/>
  <c r="Q31" i="8"/>
  <c r="P31" i="8"/>
  <c r="O31" i="8"/>
  <c r="N31" i="8"/>
  <c r="M31" i="8"/>
  <c r="H32" i="8"/>
  <c r="H30" i="8"/>
  <c r="E17" i="40"/>
  <c r="E16" i="40"/>
  <c r="H145" i="8"/>
  <c r="H141" i="8"/>
  <c r="H137" i="8"/>
  <c r="I63" i="40" a="1"/>
  <c r="I63" i="40" s="1"/>
  <c r="I62" i="40"/>
  <c r="Q133" i="8"/>
  <c r="P133" i="8"/>
  <c r="O133" i="8"/>
  <c r="N133" i="8"/>
  <c r="M133" i="8"/>
  <c r="F133" i="8"/>
  <c r="D133" i="8"/>
  <c r="H132" i="8"/>
  <c r="F132" i="8"/>
  <c r="D132" i="8"/>
  <c r="Q129" i="8"/>
  <c r="P129" i="8"/>
  <c r="O129" i="8"/>
  <c r="N129" i="8"/>
  <c r="M129" i="8"/>
  <c r="F129" i="8"/>
  <c r="D129" i="8"/>
  <c r="H128" i="8"/>
  <c r="F128" i="8"/>
  <c r="D128" i="8"/>
  <c r="Q125" i="8"/>
  <c r="P125" i="8"/>
  <c r="O125" i="8"/>
  <c r="N125" i="8"/>
  <c r="M125" i="8"/>
  <c r="F125" i="8"/>
  <c r="D125" i="8"/>
  <c r="H124" i="8"/>
  <c r="F124" i="8"/>
  <c r="D124" i="8"/>
  <c r="D225" i="31"/>
  <c r="D220" i="31"/>
  <c r="D206" i="31"/>
  <c r="D192" i="31"/>
  <c r="G50" i="30"/>
  <c r="F50" i="30" s="1"/>
  <c r="E220" i="31" s="1"/>
  <c r="G49" i="30"/>
  <c r="F49" i="30" s="1"/>
  <c r="G48" i="30"/>
  <c r="F48" i="30" s="1"/>
  <c r="E206" i="31" s="1"/>
  <c r="G47" i="30"/>
  <c r="F47" i="30" s="1"/>
  <c r="G46" i="30"/>
  <c r="F46" i="30" s="1"/>
  <c r="E192" i="31" s="1"/>
  <c r="G45" i="30"/>
  <c r="K63" i="40" a="1"/>
  <c r="K63" i="40" s="1"/>
  <c r="J63" i="40" a="1"/>
  <c r="J63" i="40" s="1"/>
  <c r="K62" i="40"/>
  <c r="G63" i="40" a="1"/>
  <c r="G63" i="40" s="1"/>
  <c r="H63" i="40" a="1"/>
  <c r="H63" i="40" s="1"/>
  <c r="H62" i="40"/>
  <c r="D145" i="8"/>
  <c r="F145" i="8"/>
  <c r="H119" i="8"/>
  <c r="H114" i="8"/>
  <c r="H113" i="8"/>
  <c r="H118" i="8"/>
  <c r="H117" i="8"/>
  <c r="H112" i="8"/>
  <c r="F113" i="8"/>
  <c r="D113" i="8"/>
  <c r="F118" i="8"/>
  <c r="D118" i="8"/>
  <c r="F117" i="8"/>
  <c r="D117" i="8"/>
  <c r="F112" i="8"/>
  <c r="D112" i="8"/>
  <c r="Q52" i="8"/>
  <c r="P52" i="8"/>
  <c r="O52" i="8"/>
  <c r="N52" i="8"/>
  <c r="M52" i="8"/>
  <c r="H53" i="8"/>
  <c r="H51" i="8"/>
  <c r="H50" i="8"/>
  <c r="H110" i="8"/>
  <c r="D110" i="8"/>
  <c r="B106" i="8"/>
  <c r="H104" i="8"/>
  <c r="F104" i="8"/>
  <c r="D104" i="8"/>
  <c r="Q103" i="8"/>
  <c r="P103" i="8"/>
  <c r="O103" i="8"/>
  <c r="N103" i="8"/>
  <c r="M103" i="8"/>
  <c r="F103" i="8"/>
  <c r="D103" i="8"/>
  <c r="Q102" i="8"/>
  <c r="P102" i="8"/>
  <c r="O102" i="8"/>
  <c r="N102" i="8"/>
  <c r="M102" i="8"/>
  <c r="F102" i="8"/>
  <c r="D102" i="8"/>
  <c r="H101" i="8"/>
  <c r="F101" i="8"/>
  <c r="D101" i="8"/>
  <c r="Q98" i="8"/>
  <c r="P98" i="8"/>
  <c r="O98" i="8"/>
  <c r="N98" i="8"/>
  <c r="M98" i="8"/>
  <c r="F98" i="8"/>
  <c r="D98" i="8"/>
  <c r="Q97" i="8"/>
  <c r="P97" i="8"/>
  <c r="O97" i="8"/>
  <c r="N97" i="8"/>
  <c r="M97" i="8"/>
  <c r="F97" i="8"/>
  <c r="D97" i="8"/>
  <c r="A63" i="40" a="1"/>
  <c r="A63" i="40" s="1"/>
  <c r="B63" i="40" a="1"/>
  <c r="B63" i="40" s="1"/>
  <c r="B62" i="40"/>
  <c r="H27" i="8"/>
  <c r="H36" i="8"/>
  <c r="H35" i="8"/>
  <c r="H11" i="8"/>
  <c r="H10" i="8"/>
  <c r="Q128" i="8" l="1"/>
  <c r="K128" i="8"/>
  <c r="K130" i="8" s="1"/>
  <c r="L128" i="8"/>
  <c r="L130" i="8" s="1"/>
  <c r="L137" i="8"/>
  <c r="L139" i="8" s="1"/>
  <c r="K137" i="8"/>
  <c r="K139" i="8" s="1"/>
  <c r="K141" i="8"/>
  <c r="K143" i="8" s="1"/>
  <c r="L141" i="8"/>
  <c r="L143" i="8" s="1"/>
  <c r="K145" i="8"/>
  <c r="K147" i="8" s="1"/>
  <c r="L145" i="8"/>
  <c r="L147" i="8" s="1"/>
  <c r="Q10" i="8"/>
  <c r="K10" i="8"/>
  <c r="L10" i="8"/>
  <c r="O30" i="8"/>
  <c r="K30" i="8"/>
  <c r="L30" i="8"/>
  <c r="Q32" i="8"/>
  <c r="L32" i="8"/>
  <c r="K32" i="8"/>
  <c r="P50" i="8"/>
  <c r="K50" i="8"/>
  <c r="L50" i="8"/>
  <c r="Q114" i="8"/>
  <c r="K114" i="8"/>
  <c r="L114" i="8"/>
  <c r="Q11" i="8"/>
  <c r="Q12" i="8" s="1"/>
  <c r="K11" i="8"/>
  <c r="L11" i="8"/>
  <c r="P104" i="8"/>
  <c r="L104" i="8"/>
  <c r="K104" i="8"/>
  <c r="Q112" i="8"/>
  <c r="K112" i="8"/>
  <c r="L112" i="8"/>
  <c r="Q35" i="8"/>
  <c r="L35" i="8"/>
  <c r="L37" i="8" s="1"/>
  <c r="K35" i="8"/>
  <c r="K37" i="8" s="1"/>
  <c r="N117" i="8"/>
  <c r="K117" i="8"/>
  <c r="L117" i="8"/>
  <c r="Q36" i="8"/>
  <c r="Q37" i="8" s="1"/>
  <c r="K36" i="8"/>
  <c r="L36" i="8"/>
  <c r="Q118" i="8"/>
  <c r="K118" i="8"/>
  <c r="L118" i="8"/>
  <c r="K27" i="8"/>
  <c r="L27" i="8"/>
  <c r="Q101" i="8"/>
  <c r="K101" i="8"/>
  <c r="K105" i="8" s="1"/>
  <c r="L101" i="8"/>
  <c r="Q110" i="8"/>
  <c r="L110" i="8"/>
  <c r="K110" i="8"/>
  <c r="Q113" i="8"/>
  <c r="K113" i="8"/>
  <c r="L113" i="8"/>
  <c r="Q51" i="8"/>
  <c r="K51" i="8"/>
  <c r="L51" i="8"/>
  <c r="Q119" i="8"/>
  <c r="K119" i="8"/>
  <c r="L119" i="8"/>
  <c r="P53" i="8"/>
  <c r="L53" i="8"/>
  <c r="K53" i="8"/>
  <c r="O124" i="8"/>
  <c r="K124" i="8"/>
  <c r="L124" i="8"/>
  <c r="Q132" i="8"/>
  <c r="Q134" i="8" s="1"/>
  <c r="L132" i="8"/>
  <c r="L134" i="8" s="1"/>
  <c r="K132" i="8"/>
  <c r="K134" i="8" s="1"/>
  <c r="M99" i="8"/>
  <c r="N99" i="8"/>
  <c r="S8" i="46"/>
  <c r="O99" i="8"/>
  <c r="P99" i="8"/>
  <c r="Q99" i="8"/>
  <c r="Q115" i="8"/>
  <c r="M114" i="8"/>
  <c r="N114" i="8"/>
  <c r="P114" i="8"/>
  <c r="P30" i="8"/>
  <c r="Q30" i="8"/>
  <c r="O114" i="8"/>
  <c r="M30" i="8"/>
  <c r="N30" i="8"/>
  <c r="M32" i="8"/>
  <c r="N32" i="8"/>
  <c r="O32" i="8"/>
  <c r="P32" i="8"/>
  <c r="M119" i="8"/>
  <c r="N119" i="8"/>
  <c r="O119" i="8"/>
  <c r="P119" i="8"/>
  <c r="Q130" i="8"/>
  <c r="M128" i="8"/>
  <c r="M130" i="8" s="1"/>
  <c r="M132" i="8"/>
  <c r="M134" i="8" s="1"/>
  <c r="N128" i="8"/>
  <c r="N130" i="8" s="1"/>
  <c r="N132" i="8"/>
  <c r="N134" i="8" s="1"/>
  <c r="N124" i="8"/>
  <c r="P124" i="8"/>
  <c r="O128" i="8"/>
  <c r="O130" i="8" s="1"/>
  <c r="O132" i="8"/>
  <c r="O134" i="8" s="1"/>
  <c r="P128" i="8"/>
  <c r="P130" i="8" s="1"/>
  <c r="Q124" i="8"/>
  <c r="P132" i="8"/>
  <c r="P134" i="8" s="1"/>
  <c r="M124" i="8"/>
  <c r="O53" i="8"/>
  <c r="N53" i="8"/>
  <c r="Q50" i="8"/>
  <c r="M51" i="8"/>
  <c r="N51" i="8"/>
  <c r="O51" i="8"/>
  <c r="N112" i="8"/>
  <c r="O112" i="8"/>
  <c r="N118" i="8"/>
  <c r="Q117" i="8"/>
  <c r="M118" i="8"/>
  <c r="O117" i="8"/>
  <c r="M117" i="8"/>
  <c r="M50" i="8"/>
  <c r="N50" i="8"/>
  <c r="O113" i="8"/>
  <c r="P117" i="8"/>
  <c r="O50" i="8"/>
  <c r="P113" i="8"/>
  <c r="M113" i="8"/>
  <c r="N113" i="8"/>
  <c r="P51" i="8"/>
  <c r="O118" i="8"/>
  <c r="P118" i="8"/>
  <c r="M53" i="8"/>
  <c r="M112" i="8"/>
  <c r="M110" i="8"/>
  <c r="N110" i="8"/>
  <c r="Q53" i="8"/>
  <c r="P112" i="8"/>
  <c r="P110" i="8"/>
  <c r="O110" i="8"/>
  <c r="Q104" i="8"/>
  <c r="M101" i="8"/>
  <c r="N101" i="8"/>
  <c r="O101" i="8"/>
  <c r="M104" i="8"/>
  <c r="P101" i="8"/>
  <c r="P105" i="8" s="1"/>
  <c r="N104" i="8"/>
  <c r="O104" i="8"/>
  <c r="M35" i="8"/>
  <c r="N35" i="8"/>
  <c r="O35" i="8"/>
  <c r="P35" i="8"/>
  <c r="M36" i="8"/>
  <c r="N36" i="8"/>
  <c r="O36" i="8"/>
  <c r="P36" i="8"/>
  <c r="M10" i="8"/>
  <c r="N10" i="8"/>
  <c r="O10" i="8"/>
  <c r="P10" i="8"/>
  <c r="M11" i="8"/>
  <c r="N11" i="8"/>
  <c r="O11" i="8"/>
  <c r="P11" i="8"/>
  <c r="K12" i="8" l="1"/>
  <c r="L33" i="8"/>
  <c r="K33" i="8"/>
  <c r="L115" i="8"/>
  <c r="K115" i="8"/>
  <c r="L12" i="8"/>
  <c r="O33" i="8"/>
  <c r="L105" i="8"/>
  <c r="Q33" i="8"/>
  <c r="Q105" i="8"/>
  <c r="S99" i="8"/>
  <c r="M33" i="8"/>
  <c r="N33" i="8"/>
  <c r="S33" i="8" s="1"/>
  <c r="P115" i="8"/>
  <c r="O115" i="8"/>
  <c r="P33" i="8"/>
  <c r="N115" i="8"/>
  <c r="M115" i="8"/>
  <c r="S53" i="8"/>
  <c r="M12" i="8"/>
  <c r="O105" i="8"/>
  <c r="P12" i="8"/>
  <c r="O12" i="8"/>
  <c r="N12" i="8"/>
  <c r="O37" i="8"/>
  <c r="N37" i="8"/>
  <c r="S134" i="8"/>
  <c r="M37" i="8"/>
  <c r="P37" i="8"/>
  <c r="N105" i="8"/>
  <c r="M105" i="8"/>
  <c r="H146" i="7"/>
  <c r="D146" i="7"/>
  <c r="F146" i="7"/>
  <c r="F138" i="7"/>
  <c r="D138" i="7"/>
  <c r="F137" i="7"/>
  <c r="D137" i="7"/>
  <c r="H138" i="7"/>
  <c r="H137" i="7"/>
  <c r="Q137" i="7" l="1"/>
  <c r="K137" i="7"/>
  <c r="L137" i="7"/>
  <c r="Q138" i="7"/>
  <c r="Q139" i="7" s="1"/>
  <c r="L138" i="7"/>
  <c r="K138" i="7"/>
  <c r="M146" i="7"/>
  <c r="L146" i="7"/>
  <c r="K146" i="7"/>
  <c r="S12" i="8"/>
  <c r="S105" i="8"/>
  <c r="S37" i="8"/>
  <c r="Q146" i="7"/>
  <c r="P146" i="7"/>
  <c r="O146" i="7"/>
  <c r="N146" i="7"/>
  <c r="M137" i="7"/>
  <c r="N137" i="7"/>
  <c r="O137" i="7"/>
  <c r="P137" i="7"/>
  <c r="M138" i="7"/>
  <c r="N138" i="7"/>
  <c r="O138" i="7"/>
  <c r="P138" i="7"/>
  <c r="K139" i="7" l="1"/>
  <c r="L139" i="7"/>
  <c r="P139" i="7"/>
  <c r="O139" i="7"/>
  <c r="N139" i="7"/>
  <c r="M139" i="7"/>
  <c r="D207" i="7"/>
  <c r="F203" i="7"/>
  <c r="D203" i="7"/>
  <c r="F201" i="7"/>
  <c r="D201" i="7"/>
  <c r="D194" i="7"/>
  <c r="F190" i="7"/>
  <c r="D190" i="7"/>
  <c r="F188" i="7"/>
  <c r="D188" i="7"/>
  <c r="D71" i="31"/>
  <c r="I45" i="40" a="1"/>
  <c r="I45" i="40" s="1"/>
  <c r="B45" i="40" a="1"/>
  <c r="B45" i="40" s="1"/>
  <c r="D77" i="7"/>
  <c r="F77" i="7"/>
  <c r="H77" i="7"/>
  <c r="D78" i="7"/>
  <c r="F78" i="7"/>
  <c r="H78" i="7"/>
  <c r="D79" i="7"/>
  <c r="F79" i="7"/>
  <c r="M79" i="7"/>
  <c r="N79" i="7"/>
  <c r="O79" i="7"/>
  <c r="P79" i="7"/>
  <c r="Q79" i="7"/>
  <c r="F89" i="7"/>
  <c r="D89" i="7"/>
  <c r="F85" i="7"/>
  <c r="D85" i="7"/>
  <c r="F83" i="7"/>
  <c r="D83" i="7"/>
  <c r="F87" i="7"/>
  <c r="D87" i="7"/>
  <c r="H89" i="7"/>
  <c r="H83" i="7"/>
  <c r="H85" i="7"/>
  <c r="H87" i="7"/>
  <c r="B198" i="7"/>
  <c r="Q138" i="8"/>
  <c r="P138" i="8"/>
  <c r="O138" i="8"/>
  <c r="N138" i="8"/>
  <c r="M138" i="8"/>
  <c r="F138" i="8"/>
  <c r="D138" i="8"/>
  <c r="Q137" i="8"/>
  <c r="F137" i="8"/>
  <c r="D137" i="8"/>
  <c r="Q146" i="8"/>
  <c r="P146" i="8"/>
  <c r="O146" i="8"/>
  <c r="N146" i="8"/>
  <c r="M146" i="8"/>
  <c r="F146" i="8"/>
  <c r="D146" i="8"/>
  <c r="Q145" i="8"/>
  <c r="H152" i="8"/>
  <c r="F152" i="8"/>
  <c r="D152" i="8"/>
  <c r="Q151" i="8"/>
  <c r="P151" i="8"/>
  <c r="O151" i="8"/>
  <c r="N151" i="8"/>
  <c r="M151" i="8"/>
  <c r="F151" i="8"/>
  <c r="D151" i="8"/>
  <c r="Q150" i="8"/>
  <c r="P150" i="8"/>
  <c r="O150" i="8"/>
  <c r="N150" i="8"/>
  <c r="M150" i="8"/>
  <c r="F150" i="8"/>
  <c r="D150" i="8"/>
  <c r="D229" i="31"/>
  <c r="B185" i="7"/>
  <c r="A200" i="7"/>
  <c r="A201" i="7"/>
  <c r="A202" i="7"/>
  <c r="A203" i="7"/>
  <c r="A204" i="7"/>
  <c r="A205" i="7"/>
  <c r="A206" i="7"/>
  <c r="A207" i="7"/>
  <c r="A199" i="7"/>
  <c r="G45" i="40" a="1"/>
  <c r="G45" i="40" s="1"/>
  <c r="F45" i="40" a="1"/>
  <c r="F45" i="40" s="1"/>
  <c r="H207" i="7"/>
  <c r="H190" i="7"/>
  <c r="H188" i="7"/>
  <c r="H186" i="7"/>
  <c r="F186" i="7"/>
  <c r="D186" i="7"/>
  <c r="D199" i="7"/>
  <c r="F199" i="7"/>
  <c r="H199" i="7"/>
  <c r="K152" i="8" l="1"/>
  <c r="K153" i="8" s="1"/>
  <c r="L152" i="8"/>
  <c r="L153" i="8" s="1"/>
  <c r="M199" i="7"/>
  <c r="L199" i="7"/>
  <c r="K199" i="7"/>
  <c r="Q186" i="7"/>
  <c r="K186" i="7"/>
  <c r="L186" i="7"/>
  <c r="O188" i="7"/>
  <c r="K188" i="7"/>
  <c r="L188" i="7"/>
  <c r="O190" i="7"/>
  <c r="K190" i="7"/>
  <c r="L190" i="7"/>
  <c r="Q207" i="7"/>
  <c r="K207" i="7"/>
  <c r="L207" i="7"/>
  <c r="O87" i="7"/>
  <c r="L87" i="7"/>
  <c r="K87" i="7"/>
  <c r="Q85" i="7"/>
  <c r="L85" i="7"/>
  <c r="K85" i="7"/>
  <c r="N83" i="7"/>
  <c r="L83" i="7"/>
  <c r="K83" i="7"/>
  <c r="O89" i="7"/>
  <c r="K89" i="7"/>
  <c r="L89" i="7"/>
  <c r="O78" i="7"/>
  <c r="K78" i="7"/>
  <c r="L78" i="7"/>
  <c r="O77" i="7"/>
  <c r="K77" i="7"/>
  <c r="L77" i="7"/>
  <c r="L80" i="7" s="1"/>
  <c r="S139" i="7"/>
  <c r="Q139" i="8"/>
  <c r="Q152" i="8"/>
  <c r="Q153" i="8" s="1"/>
  <c r="M152" i="8"/>
  <c r="M153" i="8" s="1"/>
  <c r="N152" i="8"/>
  <c r="N153" i="8" s="1"/>
  <c r="O152" i="8"/>
  <c r="O153" i="8" s="1"/>
  <c r="P152" i="8"/>
  <c r="P153" i="8" s="1"/>
  <c r="M190" i="7"/>
  <c r="Q190" i="7"/>
  <c r="N190" i="7"/>
  <c r="P190" i="7"/>
  <c r="M78" i="7"/>
  <c r="M207" i="7"/>
  <c r="N207" i="7"/>
  <c r="P188" i="7"/>
  <c r="Q188" i="7"/>
  <c r="O207" i="7"/>
  <c r="P207" i="7"/>
  <c r="N78" i="7"/>
  <c r="M188" i="7"/>
  <c r="N188" i="7"/>
  <c r="Q78" i="7"/>
  <c r="N77" i="7"/>
  <c r="P87" i="7"/>
  <c r="P78" i="7"/>
  <c r="M77" i="7"/>
  <c r="Q77" i="7"/>
  <c r="P77" i="7"/>
  <c r="Q87" i="7"/>
  <c r="O83" i="7"/>
  <c r="Q83" i="7"/>
  <c r="N85" i="7"/>
  <c r="Q89" i="7"/>
  <c r="P83" i="7"/>
  <c r="M85" i="7"/>
  <c r="P89" i="7"/>
  <c r="O85" i="7"/>
  <c r="P85" i="7"/>
  <c r="M87" i="7"/>
  <c r="M89" i="7"/>
  <c r="N87" i="7"/>
  <c r="N89" i="7"/>
  <c r="M83" i="7"/>
  <c r="P199" i="7"/>
  <c r="M137" i="8"/>
  <c r="M139" i="8" s="1"/>
  <c r="N137" i="8"/>
  <c r="N139" i="8" s="1"/>
  <c r="O137" i="8"/>
  <c r="O139" i="8" s="1"/>
  <c r="P137" i="8"/>
  <c r="P139" i="8" s="1"/>
  <c r="Q147" i="8"/>
  <c r="M145" i="8"/>
  <c r="M147" i="8" s="1"/>
  <c r="N145" i="8"/>
  <c r="N147" i="8" s="1"/>
  <c r="O145" i="8"/>
  <c r="O147" i="8" s="1"/>
  <c r="P145" i="8"/>
  <c r="P147" i="8" s="1"/>
  <c r="Q199" i="7"/>
  <c r="O199" i="7"/>
  <c r="N199" i="7"/>
  <c r="M186" i="7"/>
  <c r="N186" i="7"/>
  <c r="O186" i="7"/>
  <c r="P186" i="7"/>
  <c r="O80" i="7" l="1"/>
  <c r="S83" i="7"/>
  <c r="K80" i="7"/>
  <c r="M80" i="7"/>
  <c r="N80" i="7"/>
  <c r="S153" i="8"/>
  <c r="S139" i="8"/>
  <c r="S147" i="8"/>
  <c r="S89" i="7"/>
  <c r="S85" i="7"/>
  <c r="S87" i="7"/>
  <c r="Q80" i="7"/>
  <c r="P80" i="7"/>
  <c r="H201" i="7"/>
  <c r="H203" i="7"/>
  <c r="H194" i="7"/>
  <c r="L194" i="7" l="1"/>
  <c r="K194" i="7"/>
  <c r="K203" i="7"/>
  <c r="L203" i="7"/>
  <c r="K201" i="7"/>
  <c r="L201" i="7"/>
  <c r="S80" i="7"/>
  <c r="N194" i="7"/>
  <c r="Q194" i="7"/>
  <c r="M194" i="7"/>
  <c r="P194" i="7"/>
  <c r="O194" i="7"/>
  <c r="O203" i="7"/>
  <c r="P203" i="7"/>
  <c r="N203" i="7"/>
  <c r="Q203" i="7"/>
  <c r="M203" i="7"/>
  <c r="O201" i="7"/>
  <c r="N201" i="7"/>
  <c r="P201" i="7"/>
  <c r="M201" i="7"/>
  <c r="Q201" i="7"/>
  <c r="D262" i="31"/>
  <c r="D153" i="31"/>
  <c r="D87" i="31"/>
  <c r="D62" i="31"/>
  <c r="D54" i="31"/>
  <c r="D42" i="31"/>
  <c r="D32" i="31"/>
  <c r="D96" i="31"/>
  <c r="D81" i="31"/>
  <c r="D76" i="31"/>
  <c r="M8" i="10"/>
  <c r="T8" i="10" s="1"/>
  <c r="L8" i="10"/>
  <c r="K8" i="10"/>
  <c r="R8" i="10" s="1"/>
  <c r="J8" i="10"/>
  <c r="E8" i="10"/>
  <c r="M12" i="10"/>
  <c r="T12" i="10" s="1"/>
  <c r="L12" i="10"/>
  <c r="K12" i="10"/>
  <c r="R12" i="10" s="1"/>
  <c r="J12" i="10"/>
  <c r="E12" i="10"/>
  <c r="D2" i="30"/>
  <c r="S8" i="10" l="1"/>
  <c r="W8" i="10"/>
  <c r="S12" i="10"/>
  <c r="W12" i="10"/>
  <c r="Q12" i="10"/>
  <c r="Q8" i="10"/>
  <c r="G17" i="40" l="1"/>
  <c r="G16" i="40"/>
  <c r="B93" i="7"/>
  <c r="B3" i="5"/>
  <c r="G55" i="30"/>
  <c r="G54" i="30"/>
  <c r="G14" i="30"/>
  <c r="G12" i="30"/>
  <c r="B17" i="40"/>
  <c r="B16" i="40"/>
  <c r="H17" i="40"/>
  <c r="H16" i="40"/>
  <c r="D17" i="40"/>
  <c r="G31" i="30" s="1"/>
  <c r="D16" i="40"/>
  <c r="F17" i="40"/>
  <c r="G37" i="30" s="1"/>
  <c r="F16" i="40"/>
  <c r="G21" i="30"/>
  <c r="F21" i="30" s="1"/>
  <c r="G26" i="30" l="1"/>
  <c r="B75" i="34"/>
  <c r="E71" i="31"/>
  <c r="G52" i="30" a="1"/>
  <c r="G52" i="30" s="1"/>
  <c r="G51" i="30" s="1" a="1"/>
  <c r="G51" i="30" s="1"/>
  <c r="F51" i="30" s="1"/>
  <c r="E225" i="31" s="1"/>
  <c r="G29" i="30"/>
  <c r="F29" i="30" s="1"/>
  <c r="E106" i="31" s="1"/>
  <c r="G35" i="30"/>
  <c r="G36" i="30"/>
  <c r="D75" i="34" l="1"/>
  <c r="C75" i="34"/>
  <c r="G28" i="30"/>
  <c r="F28" i="30" s="1"/>
  <c r="E75" i="34"/>
  <c r="F52" i="30"/>
  <c r="E229" i="31" s="1"/>
  <c r="K14" i="29"/>
  <c r="H14" i="29"/>
  <c r="L14" i="29"/>
  <c r="H15" i="29"/>
  <c r="C17" i="40"/>
  <c r="G20" i="30" s="1"/>
  <c r="C16" i="40"/>
  <c r="A9" i="40"/>
  <c r="A10" i="40"/>
  <c r="A11" i="40"/>
  <c r="D12" i="33"/>
  <c r="F34" i="33" l="1"/>
  <c r="H20" i="33"/>
  <c r="I20" i="33"/>
  <c r="F20" i="33"/>
  <c r="F21" i="33" s="1"/>
  <c r="I16" i="33"/>
  <c r="I17" i="33"/>
  <c r="H21" i="33"/>
  <c r="I21" i="33"/>
  <c r="G21" i="33"/>
  <c r="F14" i="29"/>
  <c r="H16" i="33"/>
  <c r="G16" i="33"/>
  <c r="D16" i="33" s="1"/>
  <c r="F16" i="33"/>
  <c r="H17" i="33"/>
  <c r="G17" i="33"/>
  <c r="D17" i="33" s="1"/>
  <c r="I18" i="33" s="1"/>
  <c r="F17" i="33"/>
  <c r="K37" i="30"/>
  <c r="D29" i="30"/>
  <c r="D106" i="31" s="1"/>
  <c r="D15" i="33"/>
  <c r="F38" i="33" s="1"/>
  <c r="D38" i="33" s="1"/>
  <c r="L12" i="30" s="1"/>
  <c r="K36" i="30"/>
  <c r="G18" i="30"/>
  <c r="F18" i="30" s="1"/>
  <c r="D21" i="33" l="1"/>
  <c r="L28" i="30" s="1"/>
  <c r="L29" i="30" s="1"/>
  <c r="F18" i="33"/>
  <c r="H18" i="33"/>
  <c r="G18" i="33"/>
  <c r="D18" i="33" s="1"/>
  <c r="D13" i="33"/>
  <c r="L18" i="30" s="1"/>
  <c r="K18" i="30" s="1"/>
  <c r="L14" i="30" l="1"/>
  <c r="K14" i="30" s="1"/>
  <c r="I19" i="33"/>
  <c r="L7" i="30"/>
  <c r="K7" i="30" s="1"/>
  <c r="H19" i="33"/>
  <c r="G19" i="33"/>
  <c r="F19" i="33"/>
  <c r="F27" i="33" s="1"/>
  <c r="D27" i="33" s="1"/>
  <c r="H12" i="7"/>
  <c r="H16" i="7"/>
  <c r="H17" i="7"/>
  <c r="F17" i="7"/>
  <c r="D17" i="7"/>
  <c r="F16" i="7"/>
  <c r="D16" i="7"/>
  <c r="Q17" i="7" l="1"/>
  <c r="K17" i="7"/>
  <c r="L17" i="7"/>
  <c r="Q16" i="7"/>
  <c r="K16" i="7"/>
  <c r="L16" i="7"/>
  <c r="K12" i="7"/>
  <c r="L12" i="7"/>
  <c r="D19" i="33"/>
  <c r="F28" i="33"/>
  <c r="F31" i="33" s="1"/>
  <c r="D31" i="33" s="1"/>
  <c r="Q18" i="7"/>
  <c r="M17" i="7"/>
  <c r="N17" i="7"/>
  <c r="O17" i="7"/>
  <c r="P17" i="7"/>
  <c r="M16" i="7"/>
  <c r="N16" i="7"/>
  <c r="O16" i="7"/>
  <c r="P16" i="7"/>
  <c r="L18" i="7" l="1"/>
  <c r="K18" i="7"/>
  <c r="F30" i="33"/>
  <c r="F36" i="33" s="1"/>
  <c r="D36" i="33" s="1"/>
  <c r="L9" i="30" s="1"/>
  <c r="D30" i="33"/>
  <c r="F29" i="33"/>
  <c r="D29" i="33" s="1"/>
  <c r="D28" i="33"/>
  <c r="O18" i="7"/>
  <c r="N18" i="7"/>
  <c r="M18" i="7"/>
  <c r="P18" i="7"/>
  <c r="F35" i="33" l="1"/>
  <c r="D35" i="33" s="1"/>
  <c r="L6" i="30" s="1"/>
  <c r="K6" i="30" s="1"/>
  <c r="K9" i="30"/>
  <c r="S18" i="7"/>
  <c r="D10" i="11"/>
  <c r="M3" i="10"/>
  <c r="M4" i="10"/>
  <c r="M10" i="10"/>
  <c r="M28" i="10"/>
  <c r="M29" i="10"/>
  <c r="M32" i="10"/>
  <c r="M33" i="10"/>
  <c r="M36" i="10"/>
  <c r="M41" i="10"/>
  <c r="M42" i="10"/>
  <c r="M43" i="10"/>
  <c r="M44" i="10"/>
  <c r="M47" i="10"/>
  <c r="M48" i="10"/>
  <c r="M49" i="10"/>
  <c r="E4" i="10"/>
  <c r="E5" i="10"/>
  <c r="E10" i="10"/>
  <c r="E28" i="10"/>
  <c r="E29" i="10"/>
  <c r="E32" i="10"/>
  <c r="E33" i="10"/>
  <c r="E36" i="10"/>
  <c r="E38" i="10"/>
  <c r="E41" i="10"/>
  <c r="E42" i="10"/>
  <c r="E43" i="10"/>
  <c r="E44" i="10"/>
  <c r="E47" i="10"/>
  <c r="E48" i="10"/>
  <c r="E49" i="10"/>
  <c r="E3" i="10"/>
  <c r="F186" i="8"/>
  <c r="F185" i="8"/>
  <c r="F184" i="8"/>
  <c r="F183" i="8"/>
  <c r="F180" i="8"/>
  <c r="F179" i="8"/>
  <c r="F178" i="8"/>
  <c r="F177" i="8"/>
  <c r="F174" i="8"/>
  <c r="F173" i="8"/>
  <c r="F172" i="8"/>
  <c r="F171" i="8"/>
  <c r="F168" i="8"/>
  <c r="F167" i="8"/>
  <c r="F166" i="8"/>
  <c r="F162" i="8"/>
  <c r="F161" i="8"/>
  <c r="F158" i="8"/>
  <c r="F157" i="8"/>
  <c r="F156" i="8"/>
  <c r="F142" i="8"/>
  <c r="F141" i="8"/>
  <c r="F108" i="8"/>
  <c r="F94" i="8"/>
  <c r="F93" i="8"/>
  <c r="F90" i="8"/>
  <c r="F89" i="8"/>
  <c r="F83" i="8"/>
  <c r="F71" i="8"/>
  <c r="F72" i="8"/>
  <c r="F73" i="8"/>
  <c r="F74" i="8"/>
  <c r="F70" i="8"/>
  <c r="F69" i="8"/>
  <c r="F68" i="8"/>
  <c r="F63" i="8"/>
  <c r="F62" i="8"/>
  <c r="F61" i="8"/>
  <c r="F57" i="8"/>
  <c r="F56" i="8"/>
  <c r="F55" i="8"/>
  <c r="F47" i="8"/>
  <c r="F46" i="8"/>
  <c r="F45" i="8"/>
  <c r="F41" i="8"/>
  <c r="F42" i="8"/>
  <c r="F40" i="8"/>
  <c r="F27" i="8"/>
  <c r="F26" i="8"/>
  <c r="F25" i="8"/>
  <c r="F19" i="8"/>
  <c r="F18" i="8"/>
  <c r="F15" i="8"/>
  <c r="F14" i="8"/>
  <c r="F6" i="8"/>
  <c r="F7" i="8"/>
  <c r="F5" i="8"/>
  <c r="H45" i="5"/>
  <c r="H44" i="5"/>
  <c r="H43" i="5"/>
  <c r="H36" i="5"/>
  <c r="H35" i="5"/>
  <c r="H34" i="5"/>
  <c r="H19" i="5"/>
  <c r="H17" i="5"/>
  <c r="H11" i="5"/>
  <c r="H9" i="5"/>
  <c r="Q20" i="5"/>
  <c r="P20" i="5"/>
  <c r="O20" i="5"/>
  <c r="N20" i="5"/>
  <c r="M20" i="5"/>
  <c r="F20" i="5"/>
  <c r="D20" i="5"/>
  <c r="Q12" i="5"/>
  <c r="P12" i="5"/>
  <c r="O12" i="5"/>
  <c r="N12" i="5"/>
  <c r="M12" i="5"/>
  <c r="F12" i="5"/>
  <c r="D12" i="5"/>
  <c r="Q21" i="5"/>
  <c r="P21" i="5"/>
  <c r="O21" i="5"/>
  <c r="N21" i="5"/>
  <c r="M21" i="5"/>
  <c r="F21" i="5"/>
  <c r="D21" i="5"/>
  <c r="Q13" i="5"/>
  <c r="P13" i="5"/>
  <c r="O13" i="5"/>
  <c r="N13" i="5"/>
  <c r="M13" i="5"/>
  <c r="F13" i="5"/>
  <c r="D13" i="5"/>
  <c r="L45" i="5" l="1"/>
  <c r="K45" i="5"/>
  <c r="K43" i="5"/>
  <c r="L43" i="5"/>
  <c r="L44" i="5"/>
  <c r="K44" i="5"/>
  <c r="H10" i="5"/>
  <c r="H18" i="5"/>
  <c r="M30" i="10"/>
  <c r="M34" i="10"/>
  <c r="H113" i="7"/>
  <c r="H112" i="7"/>
  <c r="H13" i="7"/>
  <c r="L13" i="7" l="1"/>
  <c r="L14" i="7" s="1"/>
  <c r="K13" i="7"/>
  <c r="K14" i="7" s="1"/>
  <c r="K112" i="7"/>
  <c r="L112" i="7"/>
  <c r="K113" i="7"/>
  <c r="L113" i="7"/>
  <c r="M4" i="29"/>
  <c r="F13" i="29"/>
  <c r="F17" i="29" s="1"/>
  <c r="G59" i="32"/>
  <c r="F59" i="32"/>
  <c r="E59" i="32"/>
  <c r="D59" i="32"/>
  <c r="C59" i="32"/>
  <c r="L114" i="7" l="1"/>
  <c r="K114" i="7"/>
  <c r="B4" i="49"/>
  <c r="F44" i="33"/>
  <c r="F43" i="33"/>
  <c r="F42" i="33"/>
  <c r="F12" i="29"/>
  <c r="J29" i="29"/>
  <c r="N2" i="30"/>
  <c r="B46" i="49" l="1"/>
  <c r="G42" i="33" a="1"/>
  <c r="G42" i="33" s="1"/>
  <c r="F18" i="29" l="1"/>
  <c r="I42" i="33"/>
  <c r="Q40" i="5"/>
  <c r="Q9" i="11"/>
  <c r="Q10" i="11"/>
  <c r="Q11" i="11"/>
  <c r="Q12" i="11"/>
  <c r="Q13" i="11"/>
  <c r="Q14" i="11"/>
  <c r="Q15" i="11"/>
  <c r="Q16" i="11"/>
  <c r="Q17" i="11"/>
  <c r="Q18" i="11"/>
  <c r="Q19" i="11"/>
  <c r="Q20" i="11"/>
  <c r="Q21" i="11"/>
  <c r="Q22" i="11"/>
  <c r="Q23" i="11"/>
  <c r="P10" i="11"/>
  <c r="P11" i="11"/>
  <c r="P12" i="11"/>
  <c r="P13" i="11"/>
  <c r="P14" i="11"/>
  <c r="P15" i="11"/>
  <c r="P16" i="11"/>
  <c r="P17" i="11"/>
  <c r="P18" i="11"/>
  <c r="P19" i="11"/>
  <c r="P20" i="11"/>
  <c r="P21" i="11"/>
  <c r="P22" i="11"/>
  <c r="P23" i="11"/>
  <c r="P9" i="11"/>
  <c r="Q26" i="8"/>
  <c r="Q27" i="8"/>
  <c r="Q46" i="8"/>
  <c r="Q47" i="8"/>
  <c r="Q56" i="8"/>
  <c r="Q83" i="8"/>
  <c r="Q89" i="8"/>
  <c r="Q90" i="8"/>
  <c r="Q93" i="8"/>
  <c r="Q94" i="8"/>
  <c r="Q142" i="8"/>
  <c r="Q166" i="8"/>
  <c r="Q167" i="8"/>
  <c r="Q168" i="8"/>
  <c r="Q174" i="8"/>
  <c r="Q177" i="8"/>
  <c r="Q178" i="8"/>
  <c r="Q180" i="8"/>
  <c r="Q184" i="8"/>
  <c r="Q185" i="8"/>
  <c r="Q186" i="8"/>
  <c r="P186" i="8"/>
  <c r="P185" i="8"/>
  <c r="P184" i="8"/>
  <c r="P180" i="8"/>
  <c r="P178" i="8"/>
  <c r="P177" i="8"/>
  <c r="P174" i="8"/>
  <c r="P168" i="8"/>
  <c r="P167" i="8"/>
  <c r="P166" i="8"/>
  <c r="P142" i="8"/>
  <c r="P94" i="8"/>
  <c r="P93" i="8"/>
  <c r="P90" i="8"/>
  <c r="P89" i="8"/>
  <c r="P83" i="8"/>
  <c r="P56" i="8"/>
  <c r="P47" i="8"/>
  <c r="P46" i="8"/>
  <c r="P27" i="8"/>
  <c r="P26" i="8"/>
  <c r="Q181" i="7"/>
  <c r="Q180" i="7"/>
  <c r="Q169" i="7"/>
  <c r="Q167" i="7"/>
  <c r="Q166" i="7"/>
  <c r="Q174" i="7"/>
  <c r="Q172" i="7"/>
  <c r="Q161" i="7"/>
  <c r="Q159" i="7"/>
  <c r="Q145" i="7"/>
  <c r="Q152" i="7"/>
  <c r="Q151" i="7"/>
  <c r="Q117" i="7"/>
  <c r="Q113" i="7"/>
  <c r="Q112" i="7"/>
  <c r="Q111" i="7"/>
  <c r="Q98" i="7"/>
  <c r="Q97" i="7"/>
  <c r="Q96" i="7"/>
  <c r="Q48" i="7"/>
  <c r="Q47" i="7"/>
  <c r="Q46" i="7"/>
  <c r="Q74" i="7"/>
  <c r="Q73" i="7"/>
  <c r="Q72" i="7"/>
  <c r="Q71" i="7"/>
  <c r="Q68" i="7"/>
  <c r="Q67" i="7"/>
  <c r="Q66" i="7"/>
  <c r="Q65" i="7"/>
  <c r="Q62" i="7"/>
  <c r="Q61" i="7"/>
  <c r="Q60" i="7"/>
  <c r="Q56" i="7"/>
  <c r="Q55" i="7"/>
  <c r="Q54" i="7"/>
  <c r="Q53" i="7"/>
  <c r="Q52" i="7"/>
  <c r="Q51" i="7"/>
  <c r="Q41" i="7"/>
  <c r="Q40" i="7"/>
  <c r="Q39" i="7"/>
  <c r="Q38" i="7"/>
  <c r="Q37" i="7"/>
  <c r="Q36" i="7"/>
  <c r="Q32" i="7"/>
  <c r="Q30" i="7"/>
  <c r="Q29" i="7"/>
  <c r="Q28" i="7"/>
  <c r="Q27" i="7"/>
  <c r="Q13" i="7"/>
  <c r="Q12" i="7"/>
  <c r="Q8" i="7"/>
  <c r="P181" i="7"/>
  <c r="P180" i="7"/>
  <c r="P169" i="7"/>
  <c r="P167" i="7"/>
  <c r="P166" i="7"/>
  <c r="P174" i="7"/>
  <c r="P172" i="7"/>
  <c r="P160" i="7"/>
  <c r="P158" i="7"/>
  <c r="P145" i="7"/>
  <c r="P152" i="7"/>
  <c r="P151" i="7"/>
  <c r="P117" i="7"/>
  <c r="P113" i="7"/>
  <c r="P112" i="7"/>
  <c r="P111" i="7"/>
  <c r="P98" i="7"/>
  <c r="P97" i="7"/>
  <c r="P96" i="7"/>
  <c r="P48" i="7"/>
  <c r="P47" i="7"/>
  <c r="P46" i="7"/>
  <c r="P74" i="7"/>
  <c r="P73" i="7"/>
  <c r="P72" i="7"/>
  <c r="P71" i="7"/>
  <c r="P68" i="7"/>
  <c r="P67" i="7"/>
  <c r="P66" i="7"/>
  <c r="P65" i="7"/>
  <c r="P62" i="7"/>
  <c r="P61" i="7"/>
  <c r="P60" i="7"/>
  <c r="P56" i="7"/>
  <c r="P55" i="7"/>
  <c r="P54" i="7"/>
  <c r="P53" i="7"/>
  <c r="P52" i="7"/>
  <c r="P51" i="7"/>
  <c r="P41" i="7"/>
  <c r="P40" i="7"/>
  <c r="P39" i="7"/>
  <c r="P38" i="7"/>
  <c r="P37" i="7"/>
  <c r="P36" i="7"/>
  <c r="P32" i="7"/>
  <c r="P30" i="7"/>
  <c r="P29" i="7"/>
  <c r="P28" i="7"/>
  <c r="P27" i="7"/>
  <c r="P13" i="7"/>
  <c r="P12" i="7"/>
  <c r="P8" i="7"/>
  <c r="L25" i="31"/>
  <c r="L26" i="31"/>
  <c r="L27" i="31"/>
  <c r="L28" i="31"/>
  <c r="L29" i="31"/>
  <c r="L24" i="31"/>
  <c r="L11" i="31"/>
  <c r="L9" i="31"/>
  <c r="L6" i="31"/>
  <c r="O81" i="5"/>
  <c r="O77" i="5"/>
  <c r="O76" i="5"/>
  <c r="O69" i="5"/>
  <c r="O66" i="5"/>
  <c r="O65" i="5"/>
  <c r="O58" i="5"/>
  <c r="O57" i="5"/>
  <c r="O56" i="5"/>
  <c r="O49" i="5"/>
  <c r="O47" i="5"/>
  <c r="O46" i="5"/>
  <c r="O40" i="5"/>
  <c r="O31" i="5"/>
  <c r="O30" i="5"/>
  <c r="Q30" i="5"/>
  <c r="Q31" i="5"/>
  <c r="Q46" i="5"/>
  <c r="Q47" i="5"/>
  <c r="Q49" i="5"/>
  <c r="Q56" i="5"/>
  <c r="Q57" i="5"/>
  <c r="Q58" i="5"/>
  <c r="Q65" i="5"/>
  <c r="Q66" i="5"/>
  <c r="Q69" i="5"/>
  <c r="Q76" i="5"/>
  <c r="Q77" i="5"/>
  <c r="Q81" i="5"/>
  <c r="P81" i="5"/>
  <c r="P77" i="5"/>
  <c r="P76" i="5"/>
  <c r="P69" i="5"/>
  <c r="P66" i="5"/>
  <c r="P65" i="5"/>
  <c r="P58" i="5"/>
  <c r="P57" i="5"/>
  <c r="P56" i="5"/>
  <c r="P49" i="5"/>
  <c r="P47" i="5"/>
  <c r="P46" i="5"/>
  <c r="P40" i="5"/>
  <c r="P31" i="5"/>
  <c r="P30" i="5"/>
  <c r="A57" i="32"/>
  <c r="J57" i="32" s="1"/>
  <c r="A41" i="32"/>
  <c r="J41" i="32" s="1"/>
  <c r="G81" i="32"/>
  <c r="F81" i="32"/>
  <c r="E81" i="32"/>
  <c r="D81" i="32"/>
  <c r="C81" i="32"/>
  <c r="H22" i="32"/>
  <c r="H21" i="32"/>
  <c r="H20" i="32"/>
  <c r="H19" i="32"/>
  <c r="A64" i="32"/>
  <c r="A77" i="32"/>
  <c r="A69" i="32"/>
  <c r="B6" i="32"/>
  <c r="N37" i="32" s="1"/>
  <c r="A61" i="32"/>
  <c r="A60" i="32"/>
  <c r="C37" i="32"/>
  <c r="D37" i="32"/>
  <c r="E37" i="32"/>
  <c r="F37" i="32"/>
  <c r="G37" i="32"/>
  <c r="B18" i="38"/>
  <c r="O186" i="8"/>
  <c r="N186" i="8"/>
  <c r="M186" i="8"/>
  <c r="O185" i="8"/>
  <c r="N185" i="8"/>
  <c r="M185" i="8"/>
  <c r="O184" i="8"/>
  <c r="N184" i="8"/>
  <c r="M184" i="8"/>
  <c r="O180" i="8"/>
  <c r="N180" i="8"/>
  <c r="M180" i="8"/>
  <c r="O178" i="8"/>
  <c r="N178" i="8"/>
  <c r="M178" i="8"/>
  <c r="O177" i="8"/>
  <c r="N177" i="8"/>
  <c r="M177" i="8"/>
  <c r="O174" i="8"/>
  <c r="N174" i="8"/>
  <c r="M174" i="8"/>
  <c r="O168" i="8"/>
  <c r="N168" i="8"/>
  <c r="M168" i="8"/>
  <c r="O167" i="8"/>
  <c r="N167" i="8"/>
  <c r="M167" i="8"/>
  <c r="O166" i="8"/>
  <c r="N166" i="8"/>
  <c r="M166" i="8"/>
  <c r="O142" i="8"/>
  <c r="N142" i="8"/>
  <c r="M142" i="8"/>
  <c r="O83" i="8"/>
  <c r="N83" i="8"/>
  <c r="M83" i="8"/>
  <c r="O94" i="8"/>
  <c r="N94" i="8"/>
  <c r="M94" i="8"/>
  <c r="O93" i="8"/>
  <c r="N93" i="8"/>
  <c r="M93" i="8"/>
  <c r="O90" i="8"/>
  <c r="N90" i="8"/>
  <c r="M90" i="8"/>
  <c r="O89" i="8"/>
  <c r="N89" i="8"/>
  <c r="M89" i="8"/>
  <c r="O56" i="8"/>
  <c r="N56" i="8"/>
  <c r="M56" i="8"/>
  <c r="O47" i="8"/>
  <c r="N47" i="8"/>
  <c r="M47" i="8"/>
  <c r="O46" i="8"/>
  <c r="N46" i="8"/>
  <c r="M46" i="8"/>
  <c r="O27" i="8"/>
  <c r="N27" i="8"/>
  <c r="M27" i="8"/>
  <c r="O26" i="8"/>
  <c r="N26" i="8"/>
  <c r="M26" i="8"/>
  <c r="O8" i="7"/>
  <c r="O27" i="7"/>
  <c r="O28" i="7"/>
  <c r="O29" i="7"/>
  <c r="O30" i="7"/>
  <c r="O32" i="7"/>
  <c r="O36" i="7"/>
  <c r="O37" i="7"/>
  <c r="O38" i="7"/>
  <c r="O39" i="7"/>
  <c r="O40" i="7"/>
  <c r="O41" i="7"/>
  <c r="O51" i="7"/>
  <c r="O52" i="7"/>
  <c r="O53" i="7"/>
  <c r="O54" i="7"/>
  <c r="O55" i="7"/>
  <c r="O56" i="7"/>
  <c r="O60" i="7"/>
  <c r="O61" i="7"/>
  <c r="O62" i="7"/>
  <c r="O65" i="7"/>
  <c r="O66" i="7"/>
  <c r="O67" i="7"/>
  <c r="O68" i="7"/>
  <c r="O71" i="7"/>
  <c r="O72" i="7"/>
  <c r="O73" i="7"/>
  <c r="O74" i="7"/>
  <c r="O46" i="7"/>
  <c r="O47" i="7"/>
  <c r="O48" i="7"/>
  <c r="O96" i="7"/>
  <c r="O97" i="7"/>
  <c r="O98" i="7"/>
  <c r="O111" i="7"/>
  <c r="O112" i="7"/>
  <c r="O113" i="7"/>
  <c r="O117" i="7"/>
  <c r="O151" i="7"/>
  <c r="O152" i="7"/>
  <c r="O145" i="7"/>
  <c r="O158" i="7"/>
  <c r="O160" i="7"/>
  <c r="O172" i="7"/>
  <c r="O174" i="7"/>
  <c r="O166" i="7"/>
  <c r="O167" i="7"/>
  <c r="O169" i="7"/>
  <c r="O180" i="7"/>
  <c r="O181" i="7"/>
  <c r="H6" i="7"/>
  <c r="M117" i="7"/>
  <c r="N117" i="7"/>
  <c r="M8" i="7"/>
  <c r="N8" i="7"/>
  <c r="M27" i="7"/>
  <c r="N27" i="7"/>
  <c r="M28" i="7"/>
  <c r="N28" i="7"/>
  <c r="M29" i="7"/>
  <c r="N29" i="7"/>
  <c r="M30" i="7"/>
  <c r="N30" i="7"/>
  <c r="M32" i="7"/>
  <c r="N32" i="7"/>
  <c r="M36" i="7"/>
  <c r="N36" i="7"/>
  <c r="M37" i="7"/>
  <c r="N37" i="7"/>
  <c r="M38" i="7"/>
  <c r="N38" i="7"/>
  <c r="M39" i="7"/>
  <c r="N39" i="7"/>
  <c r="M40" i="7"/>
  <c r="N40" i="7"/>
  <c r="M41" i="7"/>
  <c r="N41" i="7"/>
  <c r="M51" i="7"/>
  <c r="N51" i="7"/>
  <c r="M52" i="7"/>
  <c r="N52" i="7"/>
  <c r="M53" i="7"/>
  <c r="N53" i="7"/>
  <c r="M54" i="7"/>
  <c r="N54" i="7"/>
  <c r="M55" i="7"/>
  <c r="N55" i="7"/>
  <c r="M56" i="7"/>
  <c r="N56" i="7"/>
  <c r="M60" i="7"/>
  <c r="N60" i="7"/>
  <c r="M61" i="7"/>
  <c r="N61" i="7"/>
  <c r="M62" i="7"/>
  <c r="N62" i="7"/>
  <c r="M65" i="7"/>
  <c r="N65" i="7"/>
  <c r="M66" i="7"/>
  <c r="N66" i="7"/>
  <c r="M67" i="7"/>
  <c r="N67" i="7"/>
  <c r="M68" i="7"/>
  <c r="N68" i="7"/>
  <c r="M71" i="7"/>
  <c r="N71" i="7"/>
  <c r="M72" i="7"/>
  <c r="N72" i="7"/>
  <c r="M73" i="7"/>
  <c r="N73" i="7"/>
  <c r="M74" i="7"/>
  <c r="N74" i="7"/>
  <c r="M46" i="7"/>
  <c r="N46" i="7"/>
  <c r="M47" i="7"/>
  <c r="N47" i="7"/>
  <c r="M48" i="7"/>
  <c r="N48" i="7"/>
  <c r="M96" i="7"/>
  <c r="N96" i="7"/>
  <c r="M97" i="7"/>
  <c r="N97" i="7"/>
  <c r="M98" i="7"/>
  <c r="N98" i="7"/>
  <c r="M111" i="7"/>
  <c r="N111" i="7"/>
  <c r="M112" i="7"/>
  <c r="N112" i="7"/>
  <c r="M113" i="7"/>
  <c r="N113" i="7"/>
  <c r="M151" i="7"/>
  <c r="N151" i="7"/>
  <c r="M152" i="7"/>
  <c r="N152" i="7"/>
  <c r="M145" i="7"/>
  <c r="N145" i="7"/>
  <c r="M158" i="7"/>
  <c r="N158" i="7"/>
  <c r="M160" i="7"/>
  <c r="N160" i="7"/>
  <c r="M172" i="7"/>
  <c r="N172" i="7"/>
  <c r="M174" i="7"/>
  <c r="N174" i="7"/>
  <c r="M166" i="7"/>
  <c r="N166" i="7"/>
  <c r="M167" i="7"/>
  <c r="N167" i="7"/>
  <c r="M169" i="7"/>
  <c r="N169" i="7"/>
  <c r="M180" i="7"/>
  <c r="N180" i="7"/>
  <c r="M181" i="7"/>
  <c r="N181" i="7"/>
  <c r="M30" i="5"/>
  <c r="N30" i="5"/>
  <c r="M31" i="5"/>
  <c r="N31" i="5"/>
  <c r="M40" i="5"/>
  <c r="N40" i="5"/>
  <c r="M46" i="5"/>
  <c r="N46" i="5"/>
  <c r="M47" i="5"/>
  <c r="N47" i="5"/>
  <c r="M49" i="5"/>
  <c r="N49" i="5"/>
  <c r="M56" i="5"/>
  <c r="N56" i="5"/>
  <c r="M57" i="5"/>
  <c r="N57" i="5"/>
  <c r="M58" i="5"/>
  <c r="N58" i="5"/>
  <c r="M65" i="5"/>
  <c r="N65" i="5"/>
  <c r="M66" i="5"/>
  <c r="N66" i="5"/>
  <c r="M69" i="5"/>
  <c r="N69" i="5"/>
  <c r="M76" i="5"/>
  <c r="N76" i="5"/>
  <c r="M77" i="5"/>
  <c r="N77" i="5"/>
  <c r="M81" i="5"/>
  <c r="N81" i="5"/>
  <c r="O6" i="7" l="1"/>
  <c r="L6" i="7"/>
  <c r="K6" i="7"/>
  <c r="X28" i="31"/>
  <c r="W28" i="31"/>
  <c r="X27" i="31"/>
  <c r="W27" i="31"/>
  <c r="W11" i="31"/>
  <c r="W10" i="31" s="1"/>
  <c r="X11" i="31"/>
  <c r="X10" i="31" s="1"/>
  <c r="X26" i="31"/>
  <c r="W26" i="31"/>
  <c r="W25" i="31"/>
  <c r="X25" i="31"/>
  <c r="W9" i="31"/>
  <c r="W8" i="31" s="1"/>
  <c r="X9" i="31"/>
  <c r="X8" i="31" s="1"/>
  <c r="W24" i="31"/>
  <c r="X24" i="31"/>
  <c r="W29" i="31"/>
  <c r="X29" i="31"/>
  <c r="W6" i="31"/>
  <c r="W5" i="31" s="1"/>
  <c r="X6" i="31"/>
  <c r="X5" i="31" s="1"/>
  <c r="P95" i="8"/>
  <c r="C19" i="29"/>
  <c r="L73" i="30" s="1"/>
  <c r="K73" i="30" s="1"/>
  <c r="K272" i="31" s="1"/>
  <c r="B115" i="49"/>
  <c r="B116" i="49"/>
  <c r="B117" i="49"/>
  <c r="B118" i="49"/>
  <c r="P91" i="8"/>
  <c r="P181" i="8"/>
  <c r="P169" i="8"/>
  <c r="Q14" i="7"/>
  <c r="Q181" i="8"/>
  <c r="O114" i="7"/>
  <c r="Q114" i="7"/>
  <c r="M6" i="7"/>
  <c r="P99" i="7"/>
  <c r="N6" i="7"/>
  <c r="P6" i="7"/>
  <c r="N114" i="7"/>
  <c r="Q6" i="7"/>
  <c r="Q169" i="8"/>
  <c r="Q99" i="7"/>
  <c r="Q95" i="8"/>
  <c r="P14" i="7"/>
  <c r="Q91" i="8"/>
  <c r="P114" i="7"/>
  <c r="M99" i="7"/>
  <c r="O99" i="7"/>
  <c r="M114" i="7"/>
  <c r="N99" i="7"/>
  <c r="K273" i="31" l="1"/>
  <c r="K274" i="31"/>
  <c r="K275" i="31"/>
  <c r="K276" i="31"/>
  <c r="K277" i="31"/>
  <c r="X23" i="31"/>
  <c r="W23" i="31"/>
  <c r="S99" i="7"/>
  <c r="S114" i="7"/>
  <c r="Q30" i="31"/>
  <c r="P30" i="31"/>
  <c r="Q29" i="31"/>
  <c r="P29" i="31"/>
  <c r="P6" i="31"/>
  <c r="I1" i="31"/>
  <c r="M19" i="11"/>
  <c r="N19" i="11"/>
  <c r="M20" i="11"/>
  <c r="N20" i="11"/>
  <c r="M21" i="11"/>
  <c r="N21" i="11"/>
  <c r="M22" i="11"/>
  <c r="N22" i="11"/>
  <c r="M23" i="11"/>
  <c r="N23" i="11"/>
  <c r="M10" i="11"/>
  <c r="N10" i="11"/>
  <c r="M11" i="11"/>
  <c r="N11" i="11"/>
  <c r="M12" i="11"/>
  <c r="N12" i="11"/>
  <c r="M13" i="11"/>
  <c r="N13" i="11"/>
  <c r="M14" i="11"/>
  <c r="N14" i="11"/>
  <c r="M15" i="11"/>
  <c r="N15" i="11"/>
  <c r="M16" i="11"/>
  <c r="N16" i="11"/>
  <c r="N9" i="11"/>
  <c r="M9" i="11"/>
  <c r="V7" i="31" l="1"/>
  <c r="U285" i="31" a="1"/>
  <c r="U285" i="31" s="1"/>
  <c r="V285" i="31" a="1"/>
  <c r="V285" i="31" s="1"/>
  <c r="Z285" i="31" a="1"/>
  <c r="Z285" i="31" s="1"/>
  <c r="O285" i="31" a="1"/>
  <c r="O285" i="31" s="1"/>
  <c r="S285" i="31" a="1"/>
  <c r="S285" i="31" s="1"/>
  <c r="U279" i="31" a="1"/>
  <c r="U279" i="31" s="1"/>
  <c r="Z279" i="31" a="1"/>
  <c r="Z279" i="31" s="1"/>
  <c r="O279" i="31" a="1"/>
  <c r="O279" i="31" s="1"/>
  <c r="S279" i="31" a="1"/>
  <c r="S279" i="31" s="1"/>
  <c r="V279" i="31" a="1"/>
  <c r="V279" i="31" s="1"/>
  <c r="S286" i="31" a="1"/>
  <c r="S286" i="31" s="1"/>
  <c r="Z286" i="31" a="1"/>
  <c r="Z286" i="31" s="1"/>
  <c r="O286" i="31" a="1"/>
  <c r="O286" i="31" s="1"/>
  <c r="U286" i="31" a="1"/>
  <c r="U286" i="31" s="1"/>
  <c r="V286" i="31" a="1"/>
  <c r="V286" i="31" s="1"/>
  <c r="S280" i="31" a="1"/>
  <c r="S280" i="31" s="1"/>
  <c r="O280" i="31" a="1"/>
  <c r="O280" i="31" s="1"/>
  <c r="U280" i="31" a="1"/>
  <c r="U280" i="31" s="1"/>
  <c r="V280" i="31" a="1"/>
  <c r="V280" i="31" s="1"/>
  <c r="Z280" i="31" a="1"/>
  <c r="Z280" i="31" s="1"/>
  <c r="O287" i="31" a="1"/>
  <c r="O287" i="31" s="1"/>
  <c r="S287" i="31" a="1"/>
  <c r="S287" i="31" s="1"/>
  <c r="U287" i="31" a="1"/>
  <c r="U287" i="31" s="1"/>
  <c r="Z287" i="31" a="1"/>
  <c r="Z287" i="31" s="1"/>
  <c r="V287" i="31" a="1"/>
  <c r="V287" i="31" s="1"/>
  <c r="S288" i="31" a="1"/>
  <c r="S288" i="31" s="1"/>
  <c r="V288" i="31" a="1"/>
  <c r="V288" i="31" s="1"/>
  <c r="O288" i="31" a="1"/>
  <c r="O288" i="31" s="1"/>
  <c r="U288" i="31" a="1"/>
  <c r="U288" i="31" s="1"/>
  <c r="Z288" i="31" a="1"/>
  <c r="Z288" i="31" s="1"/>
  <c r="Z282" i="31" a="1"/>
  <c r="Z282" i="31" s="1"/>
  <c r="V282" i="31" a="1"/>
  <c r="V282" i="31" s="1"/>
  <c r="O282" i="31" a="1"/>
  <c r="O282" i="31" s="1"/>
  <c r="S282" i="31" a="1"/>
  <c r="S282" i="31" s="1"/>
  <c r="U282" i="31" a="1"/>
  <c r="U282" i="31" s="1"/>
  <c r="Z289" i="31" a="1"/>
  <c r="Z289" i="31" s="1"/>
  <c r="V289" i="31" a="1"/>
  <c r="V289" i="31" s="1"/>
  <c r="U289" i="31" a="1"/>
  <c r="U289" i="31" s="1"/>
  <c r="S289" i="31" a="1"/>
  <c r="S289" i="31" s="1"/>
  <c r="O289" i="31" a="1"/>
  <c r="O289" i="31" s="1"/>
  <c r="S281" i="31" a="1"/>
  <c r="S281" i="31" s="1"/>
  <c r="O283" i="31" a="1"/>
  <c r="O283" i="31" s="1"/>
  <c r="S283" i="31" a="1"/>
  <c r="S283" i="31" s="1"/>
  <c r="U283" i="31" a="1"/>
  <c r="U283" i="31" s="1"/>
  <c r="V283" i="31" a="1"/>
  <c r="V283" i="31" s="1"/>
  <c r="Z281" i="31" a="1"/>
  <c r="Z281" i="31" s="1"/>
  <c r="V281" i="31" a="1"/>
  <c r="V281" i="31" s="1"/>
  <c r="U281" i="31" a="1"/>
  <c r="U281" i="31" s="1"/>
  <c r="O281" i="31" a="1"/>
  <c r="O281" i="31" s="1"/>
  <c r="Z283" i="31" a="1"/>
  <c r="Z283" i="31" s="1"/>
  <c r="O277" i="31" a="1"/>
  <c r="O277" i="31" s="1"/>
  <c r="S277" i="31" a="1"/>
  <c r="S277" i="31" s="1"/>
  <c r="U277" i="31" a="1"/>
  <c r="U277" i="31" s="1"/>
  <c r="V277" i="31" a="1"/>
  <c r="V277" i="31" s="1"/>
  <c r="Z277" i="31" a="1"/>
  <c r="Z277" i="31" s="1"/>
  <c r="O276" i="31" a="1"/>
  <c r="O276" i="31" s="1"/>
  <c r="S276" i="31" a="1"/>
  <c r="S276" i="31" s="1"/>
  <c r="U276" i="31" a="1"/>
  <c r="U276" i="31" s="1"/>
  <c r="V276" i="31" a="1"/>
  <c r="V276" i="31" s="1"/>
  <c r="Z276" i="31" a="1"/>
  <c r="Z276" i="31" s="1"/>
  <c r="U275" i="31" a="1"/>
  <c r="U275" i="31" s="1"/>
  <c r="V275" i="31" a="1"/>
  <c r="V275" i="31" s="1"/>
  <c r="Z275" i="31" a="1"/>
  <c r="Z275" i="31" s="1"/>
  <c r="O275" i="31" a="1"/>
  <c r="O275" i="31" s="1"/>
  <c r="S275" i="31" a="1"/>
  <c r="S275" i="31" s="1"/>
  <c r="O274" i="31" a="1"/>
  <c r="O274" i="31" s="1"/>
  <c r="S274" i="31" a="1"/>
  <c r="S274" i="31" s="1"/>
  <c r="U274" i="31" a="1"/>
  <c r="U274" i="31" s="1"/>
  <c r="V274" i="31" a="1"/>
  <c r="V274" i="31" s="1"/>
  <c r="Z274" i="31" a="1"/>
  <c r="Z274" i="31" s="1"/>
  <c r="Z273" i="31" a="1"/>
  <c r="Z273" i="31" s="1"/>
  <c r="V273" i="31" a="1"/>
  <c r="V273" i="31" s="1"/>
  <c r="U273" i="31" a="1"/>
  <c r="U273" i="31" s="1"/>
  <c r="O273" i="31" a="1"/>
  <c r="O273" i="31" s="1"/>
  <c r="S273" i="31" a="1"/>
  <c r="S273" i="31" s="1"/>
  <c r="AA7" i="31"/>
  <c r="Q6" i="31"/>
  <c r="P5" i="31"/>
  <c r="R283" i="31" l="1" a="1"/>
  <c r="R283" i="31" s="1"/>
  <c r="T283" i="31" s="1"/>
  <c r="Y283" i="31" s="1" a="1"/>
  <c r="Y283" i="31" s="1"/>
  <c r="AA283" i="31" s="1"/>
  <c r="R280" i="31" a="1"/>
  <c r="R280" i="31" s="1"/>
  <c r="T280" i="31" s="1"/>
  <c r="Y280" i="31" s="1" a="1"/>
  <c r="Y280" i="31" s="1"/>
  <c r="AA280" i="31" s="1"/>
  <c r="R281" i="31" a="1"/>
  <c r="R281" i="31" s="1"/>
  <c r="T281" i="31" s="1"/>
  <c r="Y281" i="31" s="1" a="1"/>
  <c r="Y281" i="31" s="1"/>
  <c r="AA281" i="31" s="1"/>
  <c r="R282" i="31" a="1"/>
  <c r="R282" i="31" s="1"/>
  <c r="T282" i="31" s="1"/>
  <c r="Y282" i="31" s="1" a="1"/>
  <c r="Y282" i="31" s="1"/>
  <c r="AA282" i="31" s="1"/>
  <c r="R279" i="31" a="1"/>
  <c r="R279" i="31" s="1"/>
  <c r="T279" i="31" s="1"/>
  <c r="Y279" i="31" s="1" a="1"/>
  <c r="Y279" i="31" s="1"/>
  <c r="AA279" i="31" s="1"/>
  <c r="R285" i="31" a="1"/>
  <c r="R285" i="31" s="1"/>
  <c r="T285" i="31" s="1"/>
  <c r="Y285" i="31" s="1" a="1"/>
  <c r="Y285" i="31" s="1"/>
  <c r="AA285" i="31" s="1"/>
  <c r="R288" i="31" a="1"/>
  <c r="R288" i="31" s="1"/>
  <c r="T288" i="31" s="1"/>
  <c r="Y288" i="31" s="1" a="1"/>
  <c r="Y288" i="31" s="1"/>
  <c r="AA288" i="31" s="1"/>
  <c r="R287" i="31" a="1"/>
  <c r="R287" i="31" s="1"/>
  <c r="T287" i="31" s="1"/>
  <c r="Y287" i="31" s="1" a="1"/>
  <c r="Y287" i="31" s="1"/>
  <c r="AA287" i="31" s="1"/>
  <c r="R286" i="31" a="1"/>
  <c r="R286" i="31" s="1"/>
  <c r="T286" i="31" s="1"/>
  <c r="Y286" i="31" s="1" a="1"/>
  <c r="Y286" i="31" s="1"/>
  <c r="AA286" i="31" s="1"/>
  <c r="R289" i="31" a="1"/>
  <c r="R289" i="31" s="1"/>
  <c r="T289" i="31" s="1"/>
  <c r="Y289" i="31" s="1" a="1"/>
  <c r="Y289" i="31" s="1"/>
  <c r="AA289" i="31" s="1"/>
  <c r="R274" i="31" a="1"/>
  <c r="R274" i="31" s="1"/>
  <c r="T274" i="31" s="1"/>
  <c r="Y274" i="31" s="1" a="1"/>
  <c r="Y274" i="31" s="1"/>
  <c r="AA274" i="31" s="1"/>
  <c r="R275" i="31" a="1"/>
  <c r="R275" i="31" s="1"/>
  <c r="T275" i="31" s="1"/>
  <c r="Y275" i="31" s="1" a="1"/>
  <c r="Y275" i="31" s="1"/>
  <c r="AA275" i="31" s="1"/>
  <c r="R276" i="31" a="1"/>
  <c r="R276" i="31" s="1"/>
  <c r="T276" i="31" s="1"/>
  <c r="Y276" i="31" s="1" a="1"/>
  <c r="Y276" i="31" s="1"/>
  <c r="AA276" i="31" s="1"/>
  <c r="R277" i="31" a="1"/>
  <c r="R277" i="31" s="1"/>
  <c r="T277" i="31" s="1"/>
  <c r="Y277" i="31" s="1" a="1"/>
  <c r="Y277" i="31" s="1"/>
  <c r="AA277" i="31" s="1"/>
  <c r="Z272" i="31"/>
  <c r="V272" i="31"/>
  <c r="O272" i="31"/>
  <c r="S278" i="31"/>
  <c r="V278" i="31"/>
  <c r="U278" i="31"/>
  <c r="S284" i="31"/>
  <c r="O278" i="31"/>
  <c r="O284" i="31"/>
  <c r="Z278" i="31"/>
  <c r="U284" i="31"/>
  <c r="U272" i="31"/>
  <c r="Z284" i="31"/>
  <c r="V284" i="31"/>
  <c r="Q5" i="31"/>
  <c r="L49" i="10"/>
  <c r="W49" i="10" s="1"/>
  <c r="L48" i="10"/>
  <c r="W48" i="10" s="1"/>
  <c r="L47" i="10"/>
  <c r="W47" i="10" s="1"/>
  <c r="L44" i="10"/>
  <c r="W44" i="10" s="1"/>
  <c r="L43" i="10"/>
  <c r="W43" i="10" s="1"/>
  <c r="L42" i="10"/>
  <c r="W42" i="10" s="1"/>
  <c r="L41" i="10"/>
  <c r="W41" i="10" s="1"/>
  <c r="L38" i="10"/>
  <c r="W38" i="10" s="1"/>
  <c r="L36" i="10"/>
  <c r="W36" i="10" s="1"/>
  <c r="L33" i="10"/>
  <c r="L32" i="10"/>
  <c r="L29" i="10"/>
  <c r="L28" i="10"/>
  <c r="L10" i="10"/>
  <c r="W10" i="10" s="1"/>
  <c r="L5" i="10"/>
  <c r="W5" i="10" s="1"/>
  <c r="L4" i="10"/>
  <c r="W4" i="10" s="1"/>
  <c r="L3" i="10"/>
  <c r="W3" i="10" s="1"/>
  <c r="K49" i="10"/>
  <c r="K48" i="10"/>
  <c r="K47" i="10"/>
  <c r="R47" i="10" s="1"/>
  <c r="K44" i="10"/>
  <c r="K43" i="10"/>
  <c r="K42" i="10"/>
  <c r="R42" i="10" s="1"/>
  <c r="K41" i="10"/>
  <c r="R41" i="10" s="1"/>
  <c r="K36" i="10"/>
  <c r="R36" i="10" s="1"/>
  <c r="K33" i="10"/>
  <c r="R33" i="10" s="1"/>
  <c r="K32" i="10"/>
  <c r="R32" i="10" s="1"/>
  <c r="R34" i="10" s="1"/>
  <c r="K29" i="10"/>
  <c r="R29" i="10" s="1"/>
  <c r="K28" i="10"/>
  <c r="R28" i="10" s="1"/>
  <c r="K10" i="10"/>
  <c r="R10" i="10" s="1"/>
  <c r="K4" i="10"/>
  <c r="R4" i="10" s="1"/>
  <c r="K3" i="10"/>
  <c r="R3" i="10" s="1"/>
  <c r="J49" i="10"/>
  <c r="J48" i="10"/>
  <c r="J47" i="10"/>
  <c r="J44" i="10"/>
  <c r="J43" i="10"/>
  <c r="J42" i="10"/>
  <c r="J41" i="10"/>
  <c r="J38" i="10"/>
  <c r="J36" i="10"/>
  <c r="J33" i="10"/>
  <c r="Q33" i="10" s="1"/>
  <c r="J32" i="10"/>
  <c r="Q32" i="10" s="1"/>
  <c r="J29" i="10"/>
  <c r="Q29" i="10" s="1"/>
  <c r="J28" i="10"/>
  <c r="Q28" i="10" s="1"/>
  <c r="J10" i="10"/>
  <c r="J5" i="10"/>
  <c r="J4" i="10"/>
  <c r="J3" i="10"/>
  <c r="F219" i="7"/>
  <c r="F218" i="7"/>
  <c r="F217" i="7"/>
  <c r="F214" i="7"/>
  <c r="F213" i="7"/>
  <c r="F212" i="7"/>
  <c r="F182" i="7"/>
  <c r="F181" i="7"/>
  <c r="F180" i="7"/>
  <c r="F179" i="7"/>
  <c r="F169" i="7"/>
  <c r="F168" i="7"/>
  <c r="F167" i="7"/>
  <c r="F166" i="7"/>
  <c r="F165" i="7"/>
  <c r="F176" i="7"/>
  <c r="F175" i="7"/>
  <c r="F174" i="7"/>
  <c r="F173" i="7"/>
  <c r="F172" i="7"/>
  <c r="F162" i="7"/>
  <c r="F161" i="7"/>
  <c r="F160" i="7"/>
  <c r="F159" i="7"/>
  <c r="F158" i="7"/>
  <c r="F157" i="7"/>
  <c r="F145" i="7"/>
  <c r="F144" i="7"/>
  <c r="F143" i="7"/>
  <c r="F128" i="7"/>
  <c r="F127" i="7"/>
  <c r="F152" i="7"/>
  <c r="F151" i="7"/>
  <c r="F150" i="7"/>
  <c r="F149" i="7"/>
  <c r="F134" i="7"/>
  <c r="F133" i="7"/>
  <c r="F132" i="7"/>
  <c r="F124" i="7"/>
  <c r="F123" i="7"/>
  <c r="F122" i="7"/>
  <c r="F117" i="7"/>
  <c r="F113" i="7"/>
  <c r="F112" i="7"/>
  <c r="F111" i="7"/>
  <c r="F98" i="7"/>
  <c r="F97" i="7"/>
  <c r="F96" i="7"/>
  <c r="F48" i="7"/>
  <c r="F47" i="7"/>
  <c r="F46" i="7"/>
  <c r="F45" i="7"/>
  <c r="F44" i="7"/>
  <c r="F74" i="7"/>
  <c r="F73" i="7"/>
  <c r="F72" i="7"/>
  <c r="F71" i="7"/>
  <c r="F68" i="7"/>
  <c r="F67" i="7"/>
  <c r="F66" i="7"/>
  <c r="F65" i="7"/>
  <c r="F62" i="7"/>
  <c r="F61" i="7"/>
  <c r="F60" i="7"/>
  <c r="F59" i="7"/>
  <c r="F56" i="7"/>
  <c r="F55" i="7"/>
  <c r="F54" i="7"/>
  <c r="F53" i="7"/>
  <c r="F52" i="7"/>
  <c r="F51" i="7"/>
  <c r="F41" i="7"/>
  <c r="F40" i="7"/>
  <c r="F39" i="7"/>
  <c r="F38" i="7"/>
  <c r="F37" i="7"/>
  <c r="F36" i="7"/>
  <c r="F35" i="7"/>
  <c r="F32" i="7"/>
  <c r="F31" i="7"/>
  <c r="F30" i="7"/>
  <c r="F29" i="7"/>
  <c r="F28" i="7"/>
  <c r="F27" i="7"/>
  <c r="F22" i="7"/>
  <c r="F21" i="7"/>
  <c r="F20" i="7"/>
  <c r="F9" i="7"/>
  <c r="F13" i="7"/>
  <c r="F12" i="7"/>
  <c r="F6" i="7"/>
  <c r="F5" i="7"/>
  <c r="F4" i="7"/>
  <c r="F82" i="5"/>
  <c r="F81" i="5"/>
  <c r="F80" i="5"/>
  <c r="F79" i="5"/>
  <c r="F78" i="5"/>
  <c r="F77" i="5"/>
  <c r="F76" i="5"/>
  <c r="F75" i="5"/>
  <c r="F74" i="5"/>
  <c r="F73" i="5"/>
  <c r="F70" i="5"/>
  <c r="F69" i="5"/>
  <c r="F68" i="5"/>
  <c r="F67" i="5"/>
  <c r="F66" i="5"/>
  <c r="F65" i="5"/>
  <c r="F64" i="5"/>
  <c r="F63" i="5"/>
  <c r="F62" i="5"/>
  <c r="F59" i="5"/>
  <c r="F58" i="5"/>
  <c r="F57" i="5"/>
  <c r="F56" i="5"/>
  <c r="F55" i="5"/>
  <c r="F54" i="5"/>
  <c r="F53" i="5"/>
  <c r="F49" i="5"/>
  <c r="F48" i="5"/>
  <c r="F47" i="5"/>
  <c r="F46" i="5"/>
  <c r="F45" i="5"/>
  <c r="F44" i="5"/>
  <c r="F43" i="5"/>
  <c r="F40" i="5"/>
  <c r="F39" i="5"/>
  <c r="F31" i="5"/>
  <c r="F30" i="5"/>
  <c r="F29" i="5"/>
  <c r="F28" i="5"/>
  <c r="F27" i="5"/>
  <c r="F22" i="5"/>
  <c r="F14" i="5"/>
  <c r="F6" i="5"/>
  <c r="F5" i="5"/>
  <c r="F4" i="5"/>
  <c r="J132" i="31"/>
  <c r="B11" i="32"/>
  <c r="O37" i="32" s="1"/>
  <c r="B19" i="32"/>
  <c r="P37" i="32" s="1"/>
  <c r="B3" i="32"/>
  <c r="M37" i="32" s="1"/>
  <c r="B2" i="32"/>
  <c r="L37" i="32" s="1"/>
  <c r="D5" i="11"/>
  <c r="H5" i="11"/>
  <c r="L60" i="30"/>
  <c r="K60" i="30" s="1"/>
  <c r="L24" i="30"/>
  <c r="K24" i="30" s="1"/>
  <c r="D87" i="11"/>
  <c r="G11" i="30"/>
  <c r="D23" i="31"/>
  <c r="H63" i="8"/>
  <c r="H62" i="8"/>
  <c r="H73" i="8"/>
  <c r="F63" i="40" a="1"/>
  <c r="F63" i="40" s="1"/>
  <c r="E63" i="40" a="1"/>
  <c r="E63" i="40" s="1"/>
  <c r="C47" i="5"/>
  <c r="C46" i="5"/>
  <c r="H48" i="5"/>
  <c r="H68" i="8"/>
  <c r="K73" i="8" l="1"/>
  <c r="L73" i="8"/>
  <c r="K62" i="8"/>
  <c r="L62" i="8"/>
  <c r="L63" i="8"/>
  <c r="K63" i="8"/>
  <c r="L68" i="8"/>
  <c r="K68" i="8"/>
  <c r="L48" i="5"/>
  <c r="L50" i="5" s="1"/>
  <c r="K48" i="5"/>
  <c r="K50" i="5" s="1"/>
  <c r="Z271" i="31"/>
  <c r="R278" i="31"/>
  <c r="V271" i="31"/>
  <c r="U271" i="31"/>
  <c r="R284" i="31"/>
  <c r="Q3" i="10"/>
  <c r="Q43" i="10"/>
  <c r="Q47" i="10"/>
  <c r="Q5" i="10"/>
  <c r="Q42" i="10"/>
  <c r="Q4" i="10"/>
  <c r="Q10" i="10"/>
  <c r="Q36" i="10"/>
  <c r="Q38" i="10"/>
  <c r="Q41" i="10"/>
  <c r="R48" i="10"/>
  <c r="Q48" i="10"/>
  <c r="P68" i="8"/>
  <c r="O68" i="8"/>
  <c r="N68" i="8"/>
  <c r="M68" i="8"/>
  <c r="Q68" i="8"/>
  <c r="M73" i="8"/>
  <c r="Q73" i="8"/>
  <c r="O73" i="8"/>
  <c r="N73" i="8"/>
  <c r="P73" i="8"/>
  <c r="N62" i="8"/>
  <c r="P62" i="8"/>
  <c r="O62" i="8"/>
  <c r="Q62" i="8"/>
  <c r="M62" i="8"/>
  <c r="Q63" i="8"/>
  <c r="P63" i="8"/>
  <c r="O63" i="8"/>
  <c r="N63" i="8"/>
  <c r="M63" i="8"/>
  <c r="R30" i="10"/>
  <c r="R43" i="10"/>
  <c r="Q34" i="10"/>
  <c r="Q30" i="10"/>
  <c r="P44" i="5"/>
  <c r="O44" i="5"/>
  <c r="Q44" i="5"/>
  <c r="Q45" i="5"/>
  <c r="P45" i="5"/>
  <c r="O45" i="5"/>
  <c r="Q48" i="5"/>
  <c r="O48" i="5"/>
  <c r="P48" i="5"/>
  <c r="U37" i="32" a="1"/>
  <c r="U37" i="32" s="1"/>
  <c r="N45" i="5"/>
  <c r="M45" i="5"/>
  <c r="M44" i="5"/>
  <c r="N44" i="5"/>
  <c r="M48" i="5"/>
  <c r="N48" i="5"/>
  <c r="Q28" i="31"/>
  <c r="P28" i="31"/>
  <c r="Q25" i="31"/>
  <c r="P25" i="31"/>
  <c r="Q24" i="31"/>
  <c r="P24" i="31"/>
  <c r="P26" i="31"/>
  <c r="Q26" i="31"/>
  <c r="Q27" i="31"/>
  <c r="P27" i="31"/>
  <c r="H61" i="8"/>
  <c r="K61" i="8" l="1"/>
  <c r="K64" i="8" s="1"/>
  <c r="L61" i="8"/>
  <c r="L64" i="8" s="1"/>
  <c r="T284" i="31"/>
  <c r="T278" i="31"/>
  <c r="O61" i="8"/>
  <c r="P61" i="8"/>
  <c r="P64" i="8" s="1"/>
  <c r="Q61" i="8"/>
  <c r="Q64" i="8" s="1"/>
  <c r="N61" i="8"/>
  <c r="M61" i="8"/>
  <c r="P43" i="5"/>
  <c r="P50" i="5" s="1"/>
  <c r="Q43" i="5"/>
  <c r="Q50" i="5" s="1"/>
  <c r="O43" i="5"/>
  <c r="O50" i="5" s="1"/>
  <c r="M43" i="5"/>
  <c r="M50" i="5" s="1"/>
  <c r="N43" i="5"/>
  <c r="N50" i="5" s="1"/>
  <c r="P23" i="31"/>
  <c r="Q23" i="31"/>
  <c r="A5" i="32"/>
  <c r="C21" i="32"/>
  <c r="C5" i="32"/>
  <c r="D252" i="31"/>
  <c r="D247" i="31"/>
  <c r="D240" i="31"/>
  <c r="D234" i="31"/>
  <c r="K162" i="31"/>
  <c r="AA278" i="31" l="1"/>
  <c r="Y278" i="31"/>
  <c r="AA284" i="31"/>
  <c r="Y284" i="31"/>
  <c r="S50" i="5"/>
  <c r="N64" i="8"/>
  <c r="M64" i="8"/>
  <c r="O64" i="8"/>
  <c r="F259" i="31"/>
  <c r="B165" i="8"/>
  <c r="B155" i="8"/>
  <c r="B87" i="8"/>
  <c r="B82" i="8"/>
  <c r="B66" i="8"/>
  <c r="B60" i="8"/>
  <c r="B39" i="8"/>
  <c r="G33" i="30"/>
  <c r="F33" i="30" s="1"/>
  <c r="E128" i="31" s="1"/>
  <c r="B3" i="8"/>
  <c r="B25" i="7"/>
  <c r="B3" i="7"/>
  <c r="F105" i="31" s="1"/>
  <c r="B52" i="5"/>
  <c r="B26" i="5"/>
  <c r="B18" i="11"/>
  <c r="B8" i="11"/>
  <c r="B3" i="11"/>
  <c r="D4" i="31"/>
  <c r="C178" i="31"/>
  <c r="A15" i="32" s="1"/>
  <c r="D179" i="31"/>
  <c r="D178" i="31"/>
  <c r="A51" i="32" s="1"/>
  <c r="F54" i="30"/>
  <c r="E234" i="31" s="1"/>
  <c r="D269" i="31"/>
  <c r="C269" i="31"/>
  <c r="A22" i="32" s="1"/>
  <c r="C266" i="31"/>
  <c r="A21" i="32" s="1"/>
  <c r="D260" i="31"/>
  <c r="D257" i="31"/>
  <c r="C260" i="31"/>
  <c r="A20" i="32" s="1"/>
  <c r="C257" i="31"/>
  <c r="A19" i="32" s="1"/>
  <c r="D169" i="31"/>
  <c r="D168" i="31"/>
  <c r="A50" i="32" s="1"/>
  <c r="J50" i="32" s="1"/>
  <c r="C168" i="31"/>
  <c r="A14" i="32" s="1"/>
  <c r="C246" i="31"/>
  <c r="A18" i="32" s="1"/>
  <c r="D182" i="31"/>
  <c r="A52" i="32" s="1"/>
  <c r="J52" i="32" s="1"/>
  <c r="C182" i="31"/>
  <c r="A16" i="32" s="1"/>
  <c r="C161" i="31"/>
  <c r="A13" i="32" s="1"/>
  <c r="C134" i="31"/>
  <c r="A12" i="32" s="1"/>
  <c r="D134" i="31"/>
  <c r="A48" i="32" s="1"/>
  <c r="J48" i="32" s="1"/>
  <c r="C233" i="31"/>
  <c r="A17" i="32" s="1"/>
  <c r="C109" i="31"/>
  <c r="A11" i="32" s="1"/>
  <c r="D109" i="31"/>
  <c r="D95" i="31"/>
  <c r="C95" i="31"/>
  <c r="A10" i="32" s="1"/>
  <c r="C86" i="31"/>
  <c r="A9" i="32" s="1"/>
  <c r="D86" i="31"/>
  <c r="C75" i="31"/>
  <c r="A8" i="32" s="1"/>
  <c r="D61" i="31"/>
  <c r="C61" i="31"/>
  <c r="A7" i="32" s="1"/>
  <c r="D53" i="31"/>
  <c r="C53" i="31"/>
  <c r="A6" i="32" s="1"/>
  <c r="D31" i="31"/>
  <c r="A4" i="32"/>
  <c r="C14" i="31"/>
  <c r="A3" i="32" s="1"/>
  <c r="D15" i="31"/>
  <c r="D14" i="31"/>
  <c r="F14" i="31" s="1"/>
  <c r="D12" i="31"/>
  <c r="D10" i="31"/>
  <c r="D8" i="31"/>
  <c r="D5" i="31"/>
  <c r="C4" i="31"/>
  <c r="A2" i="32" s="1"/>
  <c r="D246" i="31"/>
  <c r="D162" i="31"/>
  <c r="D161" i="31"/>
  <c r="A49" i="32" s="1"/>
  <c r="D233" i="31"/>
  <c r="A53" i="32" s="1"/>
  <c r="J53" i="32" s="1"/>
  <c r="D128" i="31"/>
  <c r="D75" i="31"/>
  <c r="A44" i="32" s="1"/>
  <c r="J44" i="32" s="1"/>
  <c r="F62" i="40"/>
  <c r="M63" i="40" a="1"/>
  <c r="M63" i="40" s="1"/>
  <c r="E62" i="40"/>
  <c r="M62" i="40"/>
  <c r="G62" i="40"/>
  <c r="C62" i="40"/>
  <c r="L63" i="40" a="1"/>
  <c r="L63" i="40" s="1"/>
  <c r="L62" i="40"/>
  <c r="A62" i="40"/>
  <c r="H45" i="40" a="1"/>
  <c r="H45" i="40" s="1"/>
  <c r="H44" i="40"/>
  <c r="F44" i="40"/>
  <c r="E44" i="40"/>
  <c r="C44" i="40"/>
  <c r="C45" i="40" a="1"/>
  <c r="C45" i="40" s="1"/>
  <c r="G23" i="30" s="1"/>
  <c r="B44" i="40"/>
  <c r="A44" i="40"/>
  <c r="H179" i="8"/>
  <c r="H173" i="8"/>
  <c r="H172" i="8"/>
  <c r="H171" i="8"/>
  <c r="F55" i="30"/>
  <c r="E240" i="31" s="1"/>
  <c r="H162" i="8"/>
  <c r="H161" i="8"/>
  <c r="H158" i="8"/>
  <c r="H157" i="8"/>
  <c r="H156" i="8"/>
  <c r="G24" i="30"/>
  <c r="F9" i="30"/>
  <c r="F12" i="30"/>
  <c r="K81" i="31"/>
  <c r="F71" i="30"/>
  <c r="E270" i="31" s="1"/>
  <c r="F270" i="31" s="1"/>
  <c r="G68" i="30"/>
  <c r="G66" i="30"/>
  <c r="G65" i="30"/>
  <c r="G61" i="30"/>
  <c r="D63" i="40" a="1"/>
  <c r="D63" i="40" s="1"/>
  <c r="D62" i="40"/>
  <c r="G43" i="30"/>
  <c r="G39" i="30"/>
  <c r="F39" i="30" s="1"/>
  <c r="E162" i="31" s="1"/>
  <c r="D45" i="40" a="1"/>
  <c r="D45" i="40" s="1"/>
  <c r="D44" i="40"/>
  <c r="B34" i="40" a="1"/>
  <c r="B34" i="40" s="1"/>
  <c r="E23" i="31" l="1"/>
  <c r="E13" i="51"/>
  <c r="K161" i="8"/>
  <c r="L161" i="8"/>
  <c r="K171" i="8"/>
  <c r="L171" i="8"/>
  <c r="L172" i="8"/>
  <c r="K172" i="8"/>
  <c r="K179" i="8"/>
  <c r="L179" i="8"/>
  <c r="K158" i="8"/>
  <c r="L158" i="8"/>
  <c r="K162" i="8"/>
  <c r="L162" i="8"/>
  <c r="L173" i="8"/>
  <c r="K173" i="8"/>
  <c r="K157" i="8"/>
  <c r="L157" i="8"/>
  <c r="K156" i="8"/>
  <c r="L156" i="8"/>
  <c r="L159" i="8" s="1"/>
  <c r="H259" i="31" a="1"/>
  <c r="H259" i="31" s="1"/>
  <c r="P73" i="30"/>
  <c r="P74" i="30"/>
  <c r="N74" i="30"/>
  <c r="O74" i="30" s="1"/>
  <c r="H270" i="31" a="1"/>
  <c r="H270" i="31" s="1"/>
  <c r="P72" i="30"/>
  <c r="P75" i="30"/>
  <c r="N75" i="30"/>
  <c r="O75" i="30" s="1"/>
  <c r="P51" i="30"/>
  <c r="S64" i="8"/>
  <c r="P48" i="30"/>
  <c r="P46" i="30"/>
  <c r="P49" i="30"/>
  <c r="P50" i="30"/>
  <c r="P47" i="30"/>
  <c r="L52" i="30"/>
  <c r="K52" i="30" s="1"/>
  <c r="E12" i="51" s="1"/>
  <c r="F75" i="31"/>
  <c r="P52" i="30"/>
  <c r="P45" i="30"/>
  <c r="P14" i="30"/>
  <c r="P16" i="30"/>
  <c r="P18" i="30"/>
  <c r="P20" i="30"/>
  <c r="P26" i="30"/>
  <c r="P12" i="30"/>
  <c r="P42" i="30"/>
  <c r="P7" i="30"/>
  <c r="P13" i="30"/>
  <c r="P43" i="30"/>
  <c r="P44" i="30"/>
  <c r="P15" i="30"/>
  <c r="P17" i="30"/>
  <c r="P19" i="30"/>
  <c r="P58" i="30"/>
  <c r="P23" i="30"/>
  <c r="P63" i="30"/>
  <c r="P64" i="30"/>
  <c r="P65" i="30"/>
  <c r="P27" i="30"/>
  <c r="P67" i="30"/>
  <c r="P8" i="30"/>
  <c r="P69" i="30"/>
  <c r="P9" i="30"/>
  <c r="P70" i="30"/>
  <c r="P10" i="30"/>
  <c r="P71" i="30"/>
  <c r="P11" i="30"/>
  <c r="P56" i="30"/>
  <c r="P57" i="30"/>
  <c r="P22" i="30"/>
  <c r="P24" i="30"/>
  <c r="P25" i="30"/>
  <c r="P66" i="30"/>
  <c r="P28" i="30"/>
  <c r="P68" i="30"/>
  <c r="P34" i="30"/>
  <c r="P35" i="30"/>
  <c r="P40" i="30"/>
  <c r="P41" i="30"/>
  <c r="P6" i="30"/>
  <c r="P39" i="30"/>
  <c r="P61" i="30"/>
  <c r="P38" i="30"/>
  <c r="P37" i="30"/>
  <c r="P59" i="30"/>
  <c r="P33" i="30"/>
  <c r="P55" i="30"/>
  <c r="P32" i="30"/>
  <c r="P30" i="30"/>
  <c r="P60" i="30"/>
  <c r="P54" i="30"/>
  <c r="P36" i="30"/>
  <c r="P31" i="30"/>
  <c r="P53" i="30"/>
  <c r="P29" i="30"/>
  <c r="P62" i="30"/>
  <c r="Q156" i="8"/>
  <c r="P156" i="8"/>
  <c r="O156" i="8"/>
  <c r="N156" i="8"/>
  <c r="M156" i="8"/>
  <c r="O158" i="8"/>
  <c r="N158" i="8"/>
  <c r="M158" i="8"/>
  <c r="Q158" i="8"/>
  <c r="P158" i="8"/>
  <c r="O161" i="8"/>
  <c r="N161" i="8"/>
  <c r="M161" i="8"/>
  <c r="Q161" i="8"/>
  <c r="P161" i="8"/>
  <c r="P162" i="8"/>
  <c r="Q162" i="8"/>
  <c r="O162" i="8"/>
  <c r="N162" i="8"/>
  <c r="M162" i="8"/>
  <c r="P171" i="8"/>
  <c r="O171" i="8"/>
  <c r="Q171" i="8"/>
  <c r="M171" i="8"/>
  <c r="N171" i="8"/>
  <c r="P172" i="8"/>
  <c r="O172" i="8"/>
  <c r="N172" i="8"/>
  <c r="M172" i="8"/>
  <c r="Q172" i="8"/>
  <c r="Q173" i="8"/>
  <c r="N173" i="8"/>
  <c r="M173" i="8"/>
  <c r="P173" i="8"/>
  <c r="O173" i="8"/>
  <c r="Q179" i="8"/>
  <c r="N179" i="8"/>
  <c r="M179" i="8"/>
  <c r="P179" i="8"/>
  <c r="O179" i="8"/>
  <c r="Q157" i="8"/>
  <c r="P157" i="8"/>
  <c r="M157" i="8"/>
  <c r="O157" i="8"/>
  <c r="N157" i="8"/>
  <c r="O141" i="8"/>
  <c r="O143" i="8" s="1"/>
  <c r="N141" i="8"/>
  <c r="N143" i="8" s="1"/>
  <c r="Q141" i="8"/>
  <c r="Q143" i="8" s="1"/>
  <c r="P141" i="8"/>
  <c r="P143" i="8" s="1"/>
  <c r="M141" i="8"/>
  <c r="M143" i="8" s="1"/>
  <c r="C18" i="32"/>
  <c r="A54" i="32"/>
  <c r="J54" i="32" s="1"/>
  <c r="C22" i="32"/>
  <c r="A58" i="32"/>
  <c r="J58" i="32" s="1"/>
  <c r="C11" i="32"/>
  <c r="A47" i="32"/>
  <c r="J47" i="32" s="1"/>
  <c r="C4" i="32"/>
  <c r="A40" i="32"/>
  <c r="J40" i="32" s="1"/>
  <c r="C3" i="32"/>
  <c r="A39" i="32"/>
  <c r="J39" i="32" s="1"/>
  <c r="C10" i="32"/>
  <c r="A46" i="32"/>
  <c r="J46" i="32" s="1"/>
  <c r="C2" i="32"/>
  <c r="A38" i="32"/>
  <c r="J38" i="32" s="1"/>
  <c r="C7" i="32"/>
  <c r="A43" i="32"/>
  <c r="J43" i="32" s="1"/>
  <c r="C19" i="32"/>
  <c r="A55" i="32"/>
  <c r="J55" i="32" s="1"/>
  <c r="C6" i="32"/>
  <c r="A42" i="32"/>
  <c r="J42" i="32" s="1"/>
  <c r="C20" i="32"/>
  <c r="A56" i="32"/>
  <c r="J56" i="32" s="1"/>
  <c r="C9" i="32"/>
  <c r="A45" i="32"/>
  <c r="J45" i="32" s="1"/>
  <c r="F134" i="31"/>
  <c r="C12" i="32"/>
  <c r="F178" i="31"/>
  <c r="C15" i="32"/>
  <c r="F182" i="31"/>
  <c r="C16" i="32"/>
  <c r="C8" i="32"/>
  <c r="F233" i="31"/>
  <c r="C17" i="32"/>
  <c r="F161" i="31"/>
  <c r="C13" i="32"/>
  <c r="F168" i="31"/>
  <c r="C14" i="32"/>
  <c r="F53" i="31"/>
  <c r="F61" i="31"/>
  <c r="F95" i="31"/>
  <c r="F86" i="31"/>
  <c r="F246" i="31"/>
  <c r="F109" i="31"/>
  <c r="F31" i="31"/>
  <c r="G259" i="31" a="1"/>
  <c r="G259" i="31" s="1"/>
  <c r="L259" i="31" a="1"/>
  <c r="L259" i="31" s="1"/>
  <c r="M259" i="31" a="1"/>
  <c r="M259" i="31" s="1"/>
  <c r="I259" i="31" a="1"/>
  <c r="I259" i="31" s="1"/>
  <c r="L270" i="31" a="1"/>
  <c r="L270" i="31" s="1"/>
  <c r="M270" i="31" a="1"/>
  <c r="M270" i="31" s="1"/>
  <c r="I270" i="31" a="1"/>
  <c r="I270" i="31" s="1"/>
  <c r="G270" i="31" a="1"/>
  <c r="G270" i="31" s="1"/>
  <c r="M169" i="8"/>
  <c r="N169" i="8"/>
  <c r="O169" i="8"/>
  <c r="F192" i="31"/>
  <c r="F220" i="31"/>
  <c r="F23" i="31"/>
  <c r="F106" i="31"/>
  <c r="F162" i="31"/>
  <c r="F234" i="31"/>
  <c r="F225" i="31"/>
  <c r="F128" i="31"/>
  <c r="F240" i="31"/>
  <c r="F229" i="31"/>
  <c r="F206" i="31"/>
  <c r="F71" i="31"/>
  <c r="M71" i="51" l="1"/>
  <c r="F71" i="51"/>
  <c r="G71" i="51"/>
  <c r="P71" i="51"/>
  <c r="O71" i="51"/>
  <c r="Q71" i="51"/>
  <c r="L71" i="51"/>
  <c r="N71" i="51"/>
  <c r="H71" i="51"/>
  <c r="J71" i="51"/>
  <c r="I71" i="51"/>
  <c r="K71" i="51"/>
  <c r="K159" i="8"/>
  <c r="L175" i="8"/>
  <c r="K175" i="8"/>
  <c r="L163" i="8"/>
  <c r="K163" i="8"/>
  <c r="E31" i="51"/>
  <c r="O70" i="51"/>
  <c r="J70" i="51"/>
  <c r="P70" i="51"/>
  <c r="Q70" i="51"/>
  <c r="I70" i="51"/>
  <c r="N70" i="51"/>
  <c r="H70" i="51"/>
  <c r="F70" i="51"/>
  <c r="K70" i="51"/>
  <c r="M70" i="51"/>
  <c r="G70" i="51"/>
  <c r="L70" i="51"/>
  <c r="P259" i="31"/>
  <c r="W259" i="31"/>
  <c r="W270" i="31"/>
  <c r="W269" i="31" s="1"/>
  <c r="S143" i="8"/>
  <c r="S169" i="8"/>
  <c r="M72" i="31" a="1"/>
  <c r="M72" i="31" s="1"/>
  <c r="I72" i="31" a="1"/>
  <c r="I72" i="31" s="1"/>
  <c r="H72" i="31" a="1"/>
  <c r="H72" i="31" s="1"/>
  <c r="G72" i="31" a="1"/>
  <c r="G72" i="31" s="1"/>
  <c r="Q159" i="8"/>
  <c r="H107" i="31" a="1"/>
  <c r="H107" i="31" s="1"/>
  <c r="G107" i="31" a="1"/>
  <c r="G107" i="31" s="1"/>
  <c r="M107" i="31" a="1"/>
  <c r="M107" i="31" s="1"/>
  <c r="I107" i="31" a="1"/>
  <c r="I107" i="31" s="1"/>
  <c r="L107" i="31" a="1"/>
  <c r="L107" i="31" s="1"/>
  <c r="P163" i="8"/>
  <c r="Q163" i="8"/>
  <c r="P159" i="8"/>
  <c r="Q175" i="8"/>
  <c r="P175" i="8"/>
  <c r="P270" i="31"/>
  <c r="O163" i="8"/>
  <c r="L163" i="31" a="1"/>
  <c r="L163" i="31" s="1"/>
  <c r="M163" i="31" a="1"/>
  <c r="M163" i="31" s="1"/>
  <c r="K163" i="31" s="1"/>
  <c r="O163" i="31" s="1" a="1"/>
  <c r="O163" i="31" s="1"/>
  <c r="I163" i="31" a="1"/>
  <c r="I163" i="31" s="1"/>
  <c r="G163" i="31" a="1"/>
  <c r="G163" i="31" s="1"/>
  <c r="I235" i="31" a="1"/>
  <c r="I235" i="31" s="1"/>
  <c r="L235" i="31" a="1"/>
  <c r="L235" i="31" s="1"/>
  <c r="M235" i="31" a="1"/>
  <c r="M235" i="31" s="1"/>
  <c r="G235" i="31" a="1"/>
  <c r="G235" i="31" s="1"/>
  <c r="L129" i="31" a="1"/>
  <c r="L129" i="31" s="1"/>
  <c r="G129" i="31" a="1"/>
  <c r="G129" i="31" s="1"/>
  <c r="I129" i="31" a="1"/>
  <c r="I129" i="31" s="1"/>
  <c r="N175" i="8"/>
  <c r="M175" i="8"/>
  <c r="S175" i="8" s="1"/>
  <c r="O175" i="8"/>
  <c r="O159" i="8"/>
  <c r="M159" i="8"/>
  <c r="N159" i="8"/>
  <c r="N163" i="8"/>
  <c r="M163" i="8"/>
  <c r="J81" i="51" l="1"/>
  <c r="O81" i="51"/>
  <c r="Q81" i="51"/>
  <c r="P81" i="51"/>
  <c r="K81" i="51"/>
  <c r="G81" i="51"/>
  <c r="N81" i="51"/>
  <c r="H81" i="51"/>
  <c r="M81" i="51"/>
  <c r="I81" i="51"/>
  <c r="L81" i="51"/>
  <c r="F81" i="51"/>
  <c r="W235" i="31"/>
  <c r="P235" i="31"/>
  <c r="P163" i="31"/>
  <c r="X163" i="31"/>
  <c r="W163" i="31"/>
  <c r="Q163" i="31"/>
  <c r="U163" i="31" a="1"/>
  <c r="U163" i="31" s="1"/>
  <c r="S163" i="31" a="1"/>
  <c r="S163" i="31" s="1"/>
  <c r="R163" i="31" s="1" a="1"/>
  <c r="R163" i="31" s="1"/>
  <c r="V163" i="31" a="1"/>
  <c r="V163" i="31" s="1"/>
  <c r="Z163" i="31" a="1"/>
  <c r="Z163" i="31" s="1"/>
  <c r="X129" i="31"/>
  <c r="W129" i="31"/>
  <c r="Q129" i="31"/>
  <c r="P129" i="31"/>
  <c r="W107" i="31"/>
  <c r="P107" i="31"/>
  <c r="S163" i="8"/>
  <c r="S159" i="8"/>
  <c r="F72" i="31"/>
  <c r="J72" i="31"/>
  <c r="J107" i="31"/>
  <c r="F107" i="31"/>
  <c r="P269" i="31"/>
  <c r="D58" i="32" s="1"/>
  <c r="F235" i="31"/>
  <c r="J235" i="31"/>
  <c r="F163" i="31"/>
  <c r="J163" i="31"/>
  <c r="F129" i="31"/>
  <c r="J129" i="31"/>
  <c r="F43" i="30"/>
  <c r="E179" i="31" s="1"/>
  <c r="F24" i="30"/>
  <c r="E81" i="31" s="1"/>
  <c r="L63" i="30"/>
  <c r="K63" i="30" s="1"/>
  <c r="L64" i="30"/>
  <c r="K64" i="30" s="1"/>
  <c r="L68" i="30"/>
  <c r="K68" i="30" s="1"/>
  <c r="L69" i="30"/>
  <c r="K69" i="30" s="1"/>
  <c r="L71" i="30"/>
  <c r="K71" i="30" s="1"/>
  <c r="H168" i="7"/>
  <c r="H165" i="7"/>
  <c r="G6" i="30"/>
  <c r="F6" i="30" s="1"/>
  <c r="A45" i="40" a="1"/>
  <c r="A45" i="40" s="1"/>
  <c r="C34" i="40" a="1"/>
  <c r="C34" i="40" s="1"/>
  <c r="A34" i="40" a="1"/>
  <c r="A34" i="40" s="1"/>
  <c r="B24" i="40"/>
  <c r="A24" i="40"/>
  <c r="A23" i="40"/>
  <c r="F179" i="31"/>
  <c r="F81" i="31"/>
  <c r="L165" i="7" l="1"/>
  <c r="K165" i="7"/>
  <c r="K168" i="7"/>
  <c r="L168" i="7"/>
  <c r="T163" i="31"/>
  <c r="Y163" i="31" s="1" a="1"/>
  <c r="Y163" i="31" s="1"/>
  <c r="AA163" i="31" s="1"/>
  <c r="G73" i="31" a="1"/>
  <c r="G73" i="31" s="1"/>
  <c r="M73" i="31" a="1"/>
  <c r="M73" i="31" s="1"/>
  <c r="I73" i="31" a="1"/>
  <c r="I73" i="31" s="1"/>
  <c r="H73" i="31" a="1"/>
  <c r="H73" i="31" s="1"/>
  <c r="H108" i="31" a="1"/>
  <c r="H108" i="31" s="1"/>
  <c r="M108" i="31" a="1"/>
  <c r="M108" i="31" s="1"/>
  <c r="L108" i="31" a="1"/>
  <c r="L108" i="31" s="1"/>
  <c r="I108" i="31" a="1"/>
  <c r="I108" i="31" s="1"/>
  <c r="G108" i="31" a="1"/>
  <c r="G108" i="31" s="1"/>
  <c r="P168" i="7"/>
  <c r="Q168" i="7"/>
  <c r="P165" i="7"/>
  <c r="Q165" i="7"/>
  <c r="M165" i="7"/>
  <c r="O165" i="7"/>
  <c r="N165" i="7"/>
  <c r="O168" i="7"/>
  <c r="M168" i="7"/>
  <c r="N168" i="7"/>
  <c r="E5" i="31"/>
  <c r="F5" i="31" s="1"/>
  <c r="M6" i="31" s="1" a="1"/>
  <c r="M6" i="31" s="1"/>
  <c r="E12" i="31"/>
  <c r="F12" i="31" s="1"/>
  <c r="Q9" i="31"/>
  <c r="P9" i="31"/>
  <c r="Q11" i="31"/>
  <c r="P11" i="31"/>
  <c r="L130" i="31" a="1"/>
  <c r="L130" i="31" s="1"/>
  <c r="I236" i="31" a="1"/>
  <c r="I236" i="31" s="1"/>
  <c r="J236" i="31" s="1"/>
  <c r="G164" i="31" a="1"/>
  <c r="G164" i="31" s="1"/>
  <c r="G236" i="31" a="1"/>
  <c r="G236" i="31" s="1"/>
  <c r="L236" i="31" a="1"/>
  <c r="L236" i="31" s="1"/>
  <c r="M236" i="31" a="1"/>
  <c r="M236" i="31" s="1"/>
  <c r="L164" i="31" a="1"/>
  <c r="L164" i="31" s="1"/>
  <c r="M164" i="31" a="1"/>
  <c r="M164" i="31" s="1"/>
  <c r="K164" i="31" s="1"/>
  <c r="S164" i="31" s="1" a="1"/>
  <c r="S164" i="31" s="1"/>
  <c r="I164" i="31" a="1"/>
  <c r="I164" i="31" s="1"/>
  <c r="J164" i="31" s="1"/>
  <c r="G130" i="31" a="1"/>
  <c r="G130" i="31" s="1"/>
  <c r="I130" i="31" a="1"/>
  <c r="I130" i="31" s="1"/>
  <c r="J130" i="31" s="1"/>
  <c r="L13" i="31"/>
  <c r="I180" i="31" a="1"/>
  <c r="I180" i="31" s="1"/>
  <c r="J180" i="31" s="1"/>
  <c r="L180" i="31" a="1"/>
  <c r="L180" i="31" s="1"/>
  <c r="M180" i="31" a="1"/>
  <c r="M180" i="31" s="1"/>
  <c r="G180" i="31" a="1"/>
  <c r="G180" i="31" s="1"/>
  <c r="L82" i="31" a="1"/>
  <c r="L82" i="31" s="1"/>
  <c r="M82" i="31" a="1"/>
  <c r="M82" i="31" s="1"/>
  <c r="K82" i="31" s="1"/>
  <c r="Z82" i="31" s="1" a="1"/>
  <c r="Z82" i="31" s="1"/>
  <c r="I82" i="31" a="1"/>
  <c r="I82" i="31" s="1"/>
  <c r="J82" i="31" s="1"/>
  <c r="G82" i="31" a="1"/>
  <c r="G82" i="31" s="1"/>
  <c r="K170" i="7" l="1"/>
  <c r="L170" i="7"/>
  <c r="W236" i="31"/>
  <c r="P236" i="31"/>
  <c r="W180" i="31"/>
  <c r="P180" i="31"/>
  <c r="X164" i="31"/>
  <c r="W164" i="31"/>
  <c r="Q164" i="31"/>
  <c r="P164" i="31"/>
  <c r="O164" i="31" a="1"/>
  <c r="O164" i="31" s="1"/>
  <c r="Z164" i="31" a="1"/>
  <c r="Z164" i="31" s="1"/>
  <c r="U164" i="31" a="1"/>
  <c r="U164" i="31" s="1"/>
  <c r="V164" i="31" a="1"/>
  <c r="V164" i="31" s="1"/>
  <c r="W130" i="31"/>
  <c r="Q130" i="31"/>
  <c r="X130" i="31"/>
  <c r="P130" i="31"/>
  <c r="X108" i="31"/>
  <c r="W108" i="31"/>
  <c r="Q108" i="31"/>
  <c r="P108" i="31"/>
  <c r="P106" i="31" s="1"/>
  <c r="S82" i="31" a="1"/>
  <c r="S82" i="31" s="1"/>
  <c r="U82" i="31" a="1"/>
  <c r="U82" i="31" s="1"/>
  <c r="W82" i="31"/>
  <c r="P82" i="31"/>
  <c r="V82" i="31" a="1"/>
  <c r="V82" i="31" s="1"/>
  <c r="X82" i="31" s="1"/>
  <c r="O82" i="31" a="1"/>
  <c r="O82" i="31" s="1"/>
  <c r="X13" i="31"/>
  <c r="X12" i="31" s="1"/>
  <c r="X4" i="31" s="1"/>
  <c r="W13" i="31"/>
  <c r="W12" i="31" s="1"/>
  <c r="W4" i="31" s="1"/>
  <c r="J73" i="31"/>
  <c r="F73" i="31"/>
  <c r="I230" i="31" a="1"/>
  <c r="I230" i="31" s="1"/>
  <c r="G230" i="31" a="1"/>
  <c r="G230" i="31" s="1"/>
  <c r="M230" i="31" a="1"/>
  <c r="M230" i="31" s="1"/>
  <c r="L230" i="31" a="1"/>
  <c r="L230" i="31" s="1"/>
  <c r="F108" i="31"/>
  <c r="J108" i="31"/>
  <c r="Q170" i="7"/>
  <c r="P170" i="7"/>
  <c r="Q10" i="31"/>
  <c r="P8" i="31"/>
  <c r="Q8" i="31"/>
  <c r="P10" i="31"/>
  <c r="I6" i="31" a="1"/>
  <c r="I6" i="31" s="1"/>
  <c r="F6" i="31" s="1"/>
  <c r="O170" i="7"/>
  <c r="M170" i="7"/>
  <c r="N170" i="7"/>
  <c r="I13" i="31" a="1"/>
  <c r="I13" i="31" s="1"/>
  <c r="M13" i="31" a="1"/>
  <c r="M13" i="31" s="1"/>
  <c r="Q13" i="31"/>
  <c r="P13" i="31"/>
  <c r="F236" i="31"/>
  <c r="F164" i="31"/>
  <c r="F130" i="31"/>
  <c r="F180" i="31"/>
  <c r="F82" i="31"/>
  <c r="W230" i="31" l="1"/>
  <c r="P230" i="31"/>
  <c r="R164" i="31" a="1"/>
  <c r="R164" i="31" s="1"/>
  <c r="T164" i="31" s="1"/>
  <c r="Y164" i="31" s="1" a="1"/>
  <c r="Y164" i="31" s="1"/>
  <c r="AA164" i="31" s="1"/>
  <c r="Q82" i="31"/>
  <c r="R82" i="31" a="1"/>
  <c r="R82" i="31" s="1"/>
  <c r="W106" i="31"/>
  <c r="S170" i="7"/>
  <c r="G74" i="31" a="1"/>
  <c r="G74" i="31" s="1"/>
  <c r="M74" i="31" a="1"/>
  <c r="M74" i="31" s="1"/>
  <c r="I74" i="31" a="1"/>
  <c r="I74" i="31" s="1"/>
  <c r="H74" i="31" a="1"/>
  <c r="H74" i="31" s="1"/>
  <c r="J230" i="31"/>
  <c r="F230" i="31"/>
  <c r="Q12" i="31"/>
  <c r="Q4" i="31" s="1"/>
  <c r="E38" i="32" s="1"/>
  <c r="E60" i="32" s="1"/>
  <c r="P12" i="31"/>
  <c r="P4" i="31" s="1"/>
  <c r="D38" i="32" s="1"/>
  <c r="D60" i="32" s="1"/>
  <c r="I237" i="31" a="1"/>
  <c r="I237" i="31" s="1"/>
  <c r="J237" i="31" s="1"/>
  <c r="G237" i="31" a="1"/>
  <c r="G237" i="31" s="1"/>
  <c r="L237" i="31" a="1"/>
  <c r="L237" i="31" s="1"/>
  <c r="M237" i="31" a="1"/>
  <c r="M237" i="31" s="1"/>
  <c r="I131" i="31" a="1"/>
  <c r="I131" i="31" s="1"/>
  <c r="J131" i="31" s="1"/>
  <c r="G165" i="31" a="1"/>
  <c r="G165" i="31" s="1"/>
  <c r="L165" i="31" a="1"/>
  <c r="L165" i="31" s="1"/>
  <c r="I165" i="31" a="1"/>
  <c r="I165" i="31" s="1"/>
  <c r="J165" i="31" s="1"/>
  <c r="G131" i="31" a="1"/>
  <c r="G131" i="31" s="1"/>
  <c r="M165" i="31" a="1"/>
  <c r="M165" i="31" s="1"/>
  <c r="K165" i="31" s="1"/>
  <c r="U165" i="31" s="1" a="1"/>
  <c r="U165" i="31" s="1"/>
  <c r="L131" i="31" a="1"/>
  <c r="L131" i="31" s="1"/>
  <c r="H181" i="31" a="1"/>
  <c r="H181" i="31" s="1"/>
  <c r="I181" i="31" a="1"/>
  <c r="I181" i="31" s="1"/>
  <c r="J181" i="31" s="1"/>
  <c r="L181" i="31" a="1"/>
  <c r="L181" i="31" s="1"/>
  <c r="G181" i="31" a="1"/>
  <c r="G181" i="31" s="1"/>
  <c r="M181" i="31" a="1"/>
  <c r="M181" i="31" s="1"/>
  <c r="H83" i="31" a="1"/>
  <c r="H83" i="31" s="1"/>
  <c r="I83" i="31" a="1"/>
  <c r="I83" i="31" s="1"/>
  <c r="J83" i="31" s="1"/>
  <c r="M83" i="31" a="1"/>
  <c r="M83" i="31" s="1"/>
  <c r="K83" i="31" s="1"/>
  <c r="U83" i="31" s="1" a="1"/>
  <c r="U83" i="31" s="1"/>
  <c r="L83" i="31" a="1"/>
  <c r="L83" i="31" s="1"/>
  <c r="G83" i="31" a="1"/>
  <c r="G83" i="31" s="1"/>
  <c r="W237" i="31" l="1"/>
  <c r="P237" i="31"/>
  <c r="P181" i="31"/>
  <c r="X181" i="31"/>
  <c r="W181" i="31"/>
  <c r="Q181" i="31"/>
  <c r="V165" i="31" a="1"/>
  <c r="V165" i="31" s="1"/>
  <c r="Z165" i="31" a="1"/>
  <c r="Z165" i="31" s="1"/>
  <c r="X165" i="31"/>
  <c r="W165" i="31"/>
  <c r="Q165" i="31"/>
  <c r="P165" i="31"/>
  <c r="O165" i="31" a="1"/>
  <c r="O165" i="31" s="1"/>
  <c r="S165" i="31" a="1"/>
  <c r="S165" i="31" s="1"/>
  <c r="X131" i="31"/>
  <c r="W131" i="31"/>
  <c r="Q131" i="31"/>
  <c r="P131" i="31"/>
  <c r="Z83" i="31" a="1"/>
  <c r="Z83" i="31" s="1"/>
  <c r="Q83" i="31"/>
  <c r="P83" i="31"/>
  <c r="X83" i="31"/>
  <c r="W83" i="31"/>
  <c r="T82" i="31"/>
  <c r="Y82" i="31" s="1" a="1"/>
  <c r="Y82" i="31" s="1"/>
  <c r="AA82" i="31" s="1"/>
  <c r="O83" i="31" a="1"/>
  <c r="O83" i="31" s="1"/>
  <c r="S83" i="31" a="1"/>
  <c r="S83" i="31" s="1"/>
  <c r="V83" i="31" a="1"/>
  <c r="V83" i="31" s="1"/>
  <c r="J74" i="31"/>
  <c r="F74" i="31"/>
  <c r="L231" i="31" a="1"/>
  <c r="L231" i="31" s="1"/>
  <c r="I231" i="31" a="1"/>
  <c r="I231" i="31" s="1"/>
  <c r="G231" i="31" a="1"/>
  <c r="G231" i="31" s="1"/>
  <c r="M231" i="31" a="1"/>
  <c r="M231" i="31" s="1"/>
  <c r="F237" i="31"/>
  <c r="F131" i="31"/>
  <c r="F165" i="31"/>
  <c r="F181" i="31"/>
  <c r="F132" i="31"/>
  <c r="F83" i="31"/>
  <c r="P231" i="31" l="1"/>
  <c r="W231" i="31"/>
  <c r="R165" i="31" a="1"/>
  <c r="R165" i="31" s="1"/>
  <c r="T165" i="31" s="1"/>
  <c r="Y165" i="31" s="1" a="1"/>
  <c r="Y165" i="31" s="1"/>
  <c r="AA165" i="31" s="1"/>
  <c r="R83" i="31" a="1"/>
  <c r="R83" i="31" s="1"/>
  <c r="T83" i="31" s="1"/>
  <c r="Y83" i="31" s="1" a="1"/>
  <c r="Y83" i="31" s="1"/>
  <c r="AA83" i="31" s="1"/>
  <c r="W179" i="31"/>
  <c r="W178" i="31" s="1"/>
  <c r="J231" i="31"/>
  <c r="F231" i="31"/>
  <c r="P179" i="31"/>
  <c r="P178" i="31" s="1"/>
  <c r="L238" i="31" a="1"/>
  <c r="L238" i="31" s="1"/>
  <c r="M238" i="31" a="1"/>
  <c r="M238" i="31" s="1"/>
  <c r="I238" i="31" a="1"/>
  <c r="I238" i="31" s="1"/>
  <c r="J238" i="31" s="1"/>
  <c r="H238" i="31" a="1"/>
  <c r="H238" i="31" s="1"/>
  <c r="G238" i="31" a="1"/>
  <c r="G238" i="31" s="1"/>
  <c r="H132" i="31" a="1"/>
  <c r="H132" i="31" s="1"/>
  <c r="I133" i="31" a="1"/>
  <c r="I133" i="31" s="1"/>
  <c r="J133" i="31" s="1"/>
  <c r="L132" i="31" a="1"/>
  <c r="L132" i="31" s="1"/>
  <c r="M132" i="31" a="1"/>
  <c r="M132" i="31" s="1"/>
  <c r="G132" i="31" a="1"/>
  <c r="G132" i="31" s="1"/>
  <c r="H166" i="31" a="1"/>
  <c r="H166" i="31" s="1"/>
  <c r="M166" i="31" a="1"/>
  <c r="M166" i="31" s="1"/>
  <c r="K166" i="31" s="1"/>
  <c r="V166" i="31" s="1" a="1"/>
  <c r="V166" i="31" s="1"/>
  <c r="L166" i="31" a="1"/>
  <c r="L166" i="31" s="1"/>
  <c r="I166" i="31" a="1"/>
  <c r="I166" i="31" s="1"/>
  <c r="J166" i="31" s="1"/>
  <c r="G166" i="31" a="1"/>
  <c r="G166" i="31" s="1"/>
  <c r="H84" i="31" a="1"/>
  <c r="H84" i="31" s="1"/>
  <c r="I84" i="31" a="1"/>
  <c r="I84" i="31" s="1"/>
  <c r="J84" i="31" s="1"/>
  <c r="M84" i="31" a="1"/>
  <c r="M84" i="31" s="1"/>
  <c r="K84" i="31" s="1"/>
  <c r="V84" i="31" s="1" a="1"/>
  <c r="V84" i="31" s="1"/>
  <c r="L84" i="31" a="1"/>
  <c r="L84" i="31" s="1"/>
  <c r="G84" i="31" a="1"/>
  <c r="G84" i="31" s="1"/>
  <c r="W238" i="31" l="1"/>
  <c r="P238" i="31"/>
  <c r="W166" i="31"/>
  <c r="P166" i="31"/>
  <c r="X166" i="31"/>
  <c r="Q166" i="31"/>
  <c r="O166" i="31" a="1"/>
  <c r="O166" i="31" s="1"/>
  <c r="Z166" i="31" a="1"/>
  <c r="Z166" i="31" s="1"/>
  <c r="S166" i="31" a="1"/>
  <c r="S166" i="31" s="1"/>
  <c r="U166" i="31" a="1"/>
  <c r="U166" i="31" s="1"/>
  <c r="W132" i="31"/>
  <c r="P132" i="31"/>
  <c r="X132" i="31"/>
  <c r="Q132" i="31"/>
  <c r="X84" i="31"/>
  <c r="Q84" i="31"/>
  <c r="W84" i="31"/>
  <c r="P84" i="31"/>
  <c r="U84" i="31" a="1"/>
  <c r="U84" i="31" s="1"/>
  <c r="Z84" i="31" a="1"/>
  <c r="Z84" i="31" s="1"/>
  <c r="O84" i="31" a="1"/>
  <c r="O84" i="31" s="1"/>
  <c r="S84" i="31" a="1"/>
  <c r="S84" i="31" s="1"/>
  <c r="G232" i="31" a="1"/>
  <c r="G232" i="31" s="1"/>
  <c r="H232" i="31" a="1"/>
  <c r="H232" i="31" s="1"/>
  <c r="I232" i="31" a="1"/>
  <c r="I232" i="31" s="1"/>
  <c r="L232" i="31" a="1"/>
  <c r="L232" i="31" s="1"/>
  <c r="M232" i="31" a="1"/>
  <c r="M232" i="31" s="1"/>
  <c r="D51" i="32"/>
  <c r="F238" i="31"/>
  <c r="F166" i="31"/>
  <c r="H133" i="31" a="1"/>
  <c r="H133" i="31" s="1"/>
  <c r="M133" i="31" a="1"/>
  <c r="M133" i="31" s="1"/>
  <c r="L133" i="31" a="1"/>
  <c r="L133" i="31" s="1"/>
  <c r="G133" i="31" a="1"/>
  <c r="G133" i="31" s="1"/>
  <c r="F84" i="31"/>
  <c r="W133" i="31" l="1"/>
  <c r="W128" i="31" s="1"/>
  <c r="X133" i="31"/>
  <c r="X128" i="31" s="1"/>
  <c r="Q133" i="31"/>
  <c r="P133" i="31"/>
  <c r="P232" i="31"/>
  <c r="P229" i="31" s="1"/>
  <c r="W232" i="31"/>
  <c r="R166" i="31" a="1"/>
  <c r="R166" i="31" s="1"/>
  <c r="T166" i="31" s="1"/>
  <c r="Y166" i="31" s="1" a="1"/>
  <c r="Y166" i="31" s="1"/>
  <c r="AA166" i="31" s="1"/>
  <c r="R84" i="31" a="1"/>
  <c r="R84" i="31" s="1"/>
  <c r="T84" i="31" s="1"/>
  <c r="Y84" i="31" s="1" a="1"/>
  <c r="Y84" i="31" s="1"/>
  <c r="AA84" i="31" s="1"/>
  <c r="F232" i="31"/>
  <c r="J232" i="31"/>
  <c r="M239" i="31" a="1"/>
  <c r="M239" i="31" s="1"/>
  <c r="I239" i="31" a="1"/>
  <c r="I239" i="31" s="1"/>
  <c r="J239" i="31" s="1"/>
  <c r="H239" i="31" a="1"/>
  <c r="H239" i="31" s="1"/>
  <c r="L239" i="31" a="1"/>
  <c r="L239" i="31" s="1"/>
  <c r="G239" i="31" a="1"/>
  <c r="G239" i="31" s="1"/>
  <c r="H167" i="31" a="1"/>
  <c r="H167" i="31" s="1"/>
  <c r="L167" i="31" a="1"/>
  <c r="L167" i="31" s="1"/>
  <c r="I167" i="31" a="1"/>
  <c r="I167" i="31" s="1"/>
  <c r="J167" i="31" s="1"/>
  <c r="G167" i="31" a="1"/>
  <c r="G167" i="31" s="1"/>
  <c r="M167" i="31" a="1"/>
  <c r="M167" i="31" s="1"/>
  <c r="K167" i="31" s="1"/>
  <c r="Z167" i="31" s="1" a="1"/>
  <c r="Z167" i="31" s="1"/>
  <c r="F133" i="31"/>
  <c r="I85" i="31" a="1"/>
  <c r="I85" i="31" s="1"/>
  <c r="J85" i="31" s="1"/>
  <c r="M85" i="31" a="1"/>
  <c r="M85" i="31" s="1"/>
  <c r="K85" i="31" s="1"/>
  <c r="S85" i="31" s="1" a="1"/>
  <c r="S85" i="31" s="1"/>
  <c r="L85" i="31" a="1"/>
  <c r="L85" i="31" s="1"/>
  <c r="G85" i="31" a="1"/>
  <c r="G85" i="31" s="1"/>
  <c r="H85" i="31" a="1"/>
  <c r="H85" i="31" s="1"/>
  <c r="G6" i="31"/>
  <c r="Q239" i="31" l="1"/>
  <c r="P239" i="31"/>
  <c r="X239" i="31"/>
  <c r="W239" i="31"/>
  <c r="O167" i="31" a="1"/>
  <c r="O167" i="31" s="1"/>
  <c r="V167" i="31" a="1"/>
  <c r="V167" i="31" s="1"/>
  <c r="V162" i="31" s="1"/>
  <c r="V161" i="31" s="1"/>
  <c r="S167" i="31" a="1"/>
  <c r="S167" i="31" s="1"/>
  <c r="U167" i="31" a="1"/>
  <c r="U167" i="31" s="1"/>
  <c r="X167" i="31"/>
  <c r="X162" i="31" s="1"/>
  <c r="X161" i="31" s="1"/>
  <c r="Q167" i="31"/>
  <c r="W167" i="31"/>
  <c r="P167" i="31"/>
  <c r="V85" i="31" a="1"/>
  <c r="V85" i="31" s="1"/>
  <c r="V81" i="31" s="1"/>
  <c r="W85" i="31"/>
  <c r="X85" i="31"/>
  <c r="X81" i="31" s="1"/>
  <c r="P85" i="31"/>
  <c r="Q85" i="31"/>
  <c r="Z85" i="31" a="1"/>
  <c r="Z85" i="31" s="1"/>
  <c r="Z81" i="31" s="1"/>
  <c r="U85" i="31" a="1"/>
  <c r="U85" i="31" s="1"/>
  <c r="O85" i="31" a="1"/>
  <c r="O85" i="31" s="1"/>
  <c r="Z162" i="31"/>
  <c r="Z161" i="31" s="1"/>
  <c r="W229" i="31"/>
  <c r="Q128" i="31"/>
  <c r="P128" i="31"/>
  <c r="F239" i="31"/>
  <c r="F167" i="31"/>
  <c r="M241" i="31" a="1"/>
  <c r="M241" i="31" s="1"/>
  <c r="I241" i="31" a="1"/>
  <c r="I241" i="31" s="1"/>
  <c r="J241" i="31" s="1"/>
  <c r="G241" i="31" a="1"/>
  <c r="G241" i="31" s="1"/>
  <c r="L241" i="31" a="1"/>
  <c r="L241" i="31" s="1"/>
  <c r="F85" i="31"/>
  <c r="W241" i="31" l="1"/>
  <c r="P241" i="31"/>
  <c r="R167" i="31" a="1"/>
  <c r="R167" i="31" s="1"/>
  <c r="T167" i="31" s="1"/>
  <c r="Y167" i="31" s="1" a="1"/>
  <c r="Y167" i="31" s="1"/>
  <c r="AA167" i="31" s="1"/>
  <c r="O162" i="31"/>
  <c r="O161" i="31" s="1"/>
  <c r="O81" i="31"/>
  <c r="R85" i="31" a="1"/>
  <c r="R85" i="31" s="1"/>
  <c r="T85" i="31" s="1"/>
  <c r="Y85" i="31" s="1" a="1"/>
  <c r="Y85" i="31" s="1"/>
  <c r="AA85" i="31" s="1"/>
  <c r="W234" i="31"/>
  <c r="W162" i="31"/>
  <c r="W161" i="31" s="1"/>
  <c r="W81" i="31"/>
  <c r="U81" i="31"/>
  <c r="U162" i="31"/>
  <c r="U161" i="31" s="1"/>
  <c r="H13" i="32" s="1"/>
  <c r="S162" i="31"/>
  <c r="S161" i="31" s="1"/>
  <c r="G49" i="32" s="1"/>
  <c r="P162" i="31"/>
  <c r="P161" i="31" s="1"/>
  <c r="D49" i="32" s="1"/>
  <c r="P234" i="31"/>
  <c r="Q162" i="31"/>
  <c r="Q161" i="31" s="1"/>
  <c r="E49" i="32" s="1"/>
  <c r="S81" i="31"/>
  <c r="P81" i="31"/>
  <c r="F241" i="31"/>
  <c r="B109" i="49" l="1"/>
  <c r="C49" i="32"/>
  <c r="L242" i="31" a="1"/>
  <c r="L242" i="31" s="1"/>
  <c r="M242" i="31" a="1"/>
  <c r="M242" i="31" s="1"/>
  <c r="I242" i="31" a="1"/>
  <c r="I242" i="31" s="1"/>
  <c r="J242" i="31" s="1"/>
  <c r="G242" i="31" a="1"/>
  <c r="G242" i="31" s="1"/>
  <c r="K179" i="31"/>
  <c r="P242" i="31" l="1"/>
  <c r="W242" i="31"/>
  <c r="K180" i="31"/>
  <c r="K181" i="31"/>
  <c r="F242" i="31"/>
  <c r="D46" i="5"/>
  <c r="D83" i="8"/>
  <c r="H180" i="31" s="1" a="1"/>
  <c r="H180" i="31" s="1"/>
  <c r="D48" i="5"/>
  <c r="D141" i="8"/>
  <c r="H230" i="31" s="1" a="1"/>
  <c r="H230" i="31" s="1"/>
  <c r="D169" i="7"/>
  <c r="D18" i="8"/>
  <c r="D23" i="11"/>
  <c r="D21" i="11"/>
  <c r="L13" i="29"/>
  <c r="D18" i="38"/>
  <c r="B46" i="38"/>
  <c r="B45" i="38"/>
  <c r="B33" i="38"/>
  <c r="E47" i="38"/>
  <c r="E44" i="38"/>
  <c r="E43" i="38"/>
  <c r="E42" i="38"/>
  <c r="E41" i="38"/>
  <c r="E40" i="38"/>
  <c r="E39" i="38"/>
  <c r="Z181" i="31" l="1" a="1"/>
  <c r="Z181" i="31" s="1"/>
  <c r="V181" i="31" a="1"/>
  <c r="V181" i="31" s="1"/>
  <c r="U181" i="31" a="1"/>
  <c r="U181" i="31" s="1"/>
  <c r="S181" i="31" a="1"/>
  <c r="S181" i="31" s="1"/>
  <c r="O181" i="31" a="1"/>
  <c r="O181" i="31" s="1"/>
  <c r="Z180" i="31" a="1"/>
  <c r="Z180" i="31" s="1"/>
  <c r="V180" i="31" a="1"/>
  <c r="V180" i="31" s="1"/>
  <c r="O180" i="31" a="1"/>
  <c r="O180" i="31" s="1"/>
  <c r="U180" i="31" a="1"/>
  <c r="U180" i="31" s="1"/>
  <c r="S180" i="31" a="1"/>
  <c r="S180" i="31" s="1"/>
  <c r="C46" i="38"/>
  <c r="B17" i="38" s="1"/>
  <c r="D161" i="8"/>
  <c r="D179" i="8"/>
  <c r="D173" i="8"/>
  <c r="D63" i="8"/>
  <c r="H165" i="31" s="1" a="1"/>
  <c r="H165" i="31" s="1"/>
  <c r="D45" i="5"/>
  <c r="D167" i="8"/>
  <c r="D157" i="8"/>
  <c r="D25" i="8"/>
  <c r="D26" i="8"/>
  <c r="D168" i="7"/>
  <c r="D172" i="8"/>
  <c r="D19" i="11"/>
  <c r="D14" i="8"/>
  <c r="D61" i="8"/>
  <c r="H163" i="31" s="1" a="1"/>
  <c r="H163" i="31" s="1"/>
  <c r="D43" i="5"/>
  <c r="D62" i="8"/>
  <c r="H164" i="31" s="1" a="1"/>
  <c r="H164" i="31" s="1"/>
  <c r="D44" i="5"/>
  <c r="D180" i="8"/>
  <c r="D168" i="8"/>
  <c r="D158" i="8"/>
  <c r="H237" i="31" s="1" a="1"/>
  <c r="H237" i="31" s="1"/>
  <c r="D174" i="8"/>
  <c r="D162" i="8"/>
  <c r="D19" i="8"/>
  <c r="D15" i="8"/>
  <c r="D49" i="5"/>
  <c r="D117" i="7"/>
  <c r="H82" i="31" s="1" a="1"/>
  <c r="H82" i="31" s="1"/>
  <c r="L243" i="31" a="1"/>
  <c r="L243" i="31" s="1"/>
  <c r="M243" i="31" a="1"/>
  <c r="M243" i="31" s="1"/>
  <c r="I243" i="31" a="1"/>
  <c r="I243" i="31" s="1"/>
  <c r="J243" i="31" s="1"/>
  <c r="G243" i="31" a="1"/>
  <c r="G243" i="31" s="1"/>
  <c r="D47" i="5"/>
  <c r="C45" i="38"/>
  <c r="E45" i="38" s="1"/>
  <c r="W243" i="31" l="1"/>
  <c r="P243" i="31"/>
  <c r="Z179" i="31"/>
  <c r="Z178" i="31" s="1"/>
  <c r="Q180" i="31"/>
  <c r="R180" i="31" a="1"/>
  <c r="R180" i="31" s="1"/>
  <c r="X180" i="31"/>
  <c r="R181" i="31" a="1"/>
  <c r="R181" i="31" s="1"/>
  <c r="T181" i="31" s="1"/>
  <c r="Y181" i="31" s="1" a="1"/>
  <c r="Y181" i="31" s="1"/>
  <c r="AA181" i="31" s="1"/>
  <c r="V179" i="31"/>
  <c r="V178" i="31" s="1"/>
  <c r="U179" i="31"/>
  <c r="U178" i="31" s="1"/>
  <c r="H15" i="32" s="1"/>
  <c r="S179" i="31"/>
  <c r="S178" i="31" s="1"/>
  <c r="G51" i="32" s="1"/>
  <c r="O179" i="31"/>
  <c r="D156" i="8"/>
  <c r="D166" i="8"/>
  <c r="D171" i="8"/>
  <c r="D165" i="7"/>
  <c r="D142" i="8"/>
  <c r="H231" i="31" s="1" a="1"/>
  <c r="H231" i="31" s="1"/>
  <c r="D166" i="7"/>
  <c r="H243" i="31" a="1"/>
  <c r="H243" i="31" s="1"/>
  <c r="D167" i="7"/>
  <c r="H236" i="31" a="1"/>
  <c r="H236" i="31" s="1"/>
  <c r="H242" i="31" a="1"/>
  <c r="H242" i="31" s="1"/>
  <c r="D27" i="8"/>
  <c r="F243" i="31"/>
  <c r="E46" i="38"/>
  <c r="D17" i="38"/>
  <c r="B16" i="38"/>
  <c r="T180" i="31" l="1"/>
  <c r="Y180" i="31" s="1" a="1"/>
  <c r="Y180" i="31" s="1"/>
  <c r="AA180" i="31" s="1"/>
  <c r="X179" i="31"/>
  <c r="X178" i="31" s="1"/>
  <c r="B111" i="49"/>
  <c r="D16" i="38"/>
  <c r="B19" i="38"/>
  <c r="O178" i="31"/>
  <c r="H235" i="31" a="1"/>
  <c r="H235" i="31" s="1"/>
  <c r="H241" i="31" a="1"/>
  <c r="H241" i="31" s="1"/>
  <c r="L244" i="31" a="1"/>
  <c r="L244" i="31" s="1"/>
  <c r="M244" i="31" a="1"/>
  <c r="M244" i="31" s="1"/>
  <c r="I244" i="31" a="1"/>
  <c r="I244" i="31" s="1"/>
  <c r="J244" i="31" s="1"/>
  <c r="H244" i="31" a="1"/>
  <c r="H244" i="31" s="1"/>
  <c r="G244" i="31" a="1"/>
  <c r="G244" i="31" s="1"/>
  <c r="D59" i="34"/>
  <c r="E59" i="34"/>
  <c r="C59" i="34"/>
  <c r="B59" i="34"/>
  <c r="W244" i="31" l="1"/>
  <c r="P244" i="31"/>
  <c r="D3" i="38"/>
  <c r="J34" i="29" s="1"/>
  <c r="C51" i="32"/>
  <c r="F244" i="31"/>
  <c r="B45" i="49" l="1"/>
  <c r="L245" i="31" a="1"/>
  <c r="L245" i="31" s="1"/>
  <c r="M245" i="31" a="1"/>
  <c r="M245" i="31" s="1"/>
  <c r="I245" i="31" a="1"/>
  <c r="I245" i="31" s="1"/>
  <c r="J245" i="31" s="1"/>
  <c r="H245" i="31" a="1"/>
  <c r="H245" i="31" s="1"/>
  <c r="G245" i="31" a="1"/>
  <c r="G245" i="31" s="1"/>
  <c r="L61" i="30"/>
  <c r="K61" i="30" s="1"/>
  <c r="M87" i="11"/>
  <c r="M88" i="11" s="1"/>
  <c r="O11" i="34"/>
  <c r="X245" i="31" l="1"/>
  <c r="W245" i="31"/>
  <c r="P245" i="31"/>
  <c r="Q245" i="31"/>
  <c r="B91" i="11"/>
  <c r="F245" i="31"/>
  <c r="M90" i="11"/>
  <c r="M89" i="11"/>
  <c r="D88" i="11"/>
  <c r="D89" i="11" s="1"/>
  <c r="W240" i="31" l="1"/>
  <c r="W233" i="31" s="1"/>
  <c r="P240" i="31"/>
  <c r="P233" i="31" s="1"/>
  <c r="D69" i="8"/>
  <c r="D70" i="8"/>
  <c r="D71" i="8"/>
  <c r="D72" i="8"/>
  <c r="D73" i="8"/>
  <c r="D74" i="8"/>
  <c r="D68" i="8"/>
  <c r="D108" i="8"/>
  <c r="D94" i="8"/>
  <c r="D93" i="8"/>
  <c r="D90" i="8"/>
  <c r="D89" i="8"/>
  <c r="D184" i="8"/>
  <c r="D185" i="8"/>
  <c r="D186" i="8"/>
  <c r="D183" i="8"/>
  <c r="D178" i="8"/>
  <c r="D177" i="8"/>
  <c r="D56" i="8"/>
  <c r="D57" i="8"/>
  <c r="D55" i="8"/>
  <c r="D46" i="8"/>
  <c r="D47" i="8"/>
  <c r="D45" i="8"/>
  <c r="D6" i="8"/>
  <c r="H130" i="31" s="1" a="1"/>
  <c r="H130" i="31" s="1"/>
  <c r="D7" i="8"/>
  <c r="H131" i="31" s="1" a="1"/>
  <c r="H131" i="31" s="1"/>
  <c r="D5" i="8"/>
  <c r="H129" i="31" s="1" a="1"/>
  <c r="H129" i="31" s="1"/>
  <c r="D53" i="32" l="1"/>
  <c r="D41" i="8" l="1"/>
  <c r="D42" i="8"/>
  <c r="D40" i="8"/>
  <c r="L66" i="30" l="1"/>
  <c r="K66" i="30" s="1"/>
  <c r="B24" i="32"/>
  <c r="B25" i="32"/>
  <c r="B26" i="32"/>
  <c r="B27" i="32"/>
  <c r="B28" i="32"/>
  <c r="B29" i="32"/>
  <c r="B23" i="32"/>
  <c r="D115" i="34"/>
  <c r="C115" i="34"/>
  <c r="B115" i="34"/>
  <c r="L32" i="30"/>
  <c r="K32" i="30" s="1"/>
  <c r="K31" i="30"/>
  <c r="F37" i="33" s="1"/>
  <c r="D37" i="33" s="1"/>
  <c r="L11" i="30" s="1"/>
  <c r="G35" i="5"/>
  <c r="G36" i="5"/>
  <c r="G37" i="5"/>
  <c r="G38" i="5"/>
  <c r="G34" i="5"/>
  <c r="C35" i="5"/>
  <c r="C36" i="5"/>
  <c r="C43" i="5" s="1"/>
  <c r="C37" i="5"/>
  <c r="C44" i="5" s="1"/>
  <c r="C38" i="5"/>
  <c r="C45" i="5" s="1"/>
  <c r="C34" i="5"/>
  <c r="D22" i="5"/>
  <c r="H22" i="5"/>
  <c r="D82" i="5"/>
  <c r="D81" i="5"/>
  <c r="D80" i="5"/>
  <c r="D79" i="5"/>
  <c r="D78" i="5"/>
  <c r="D77" i="5"/>
  <c r="D76" i="5"/>
  <c r="D75" i="5"/>
  <c r="D74" i="5"/>
  <c r="D73" i="5"/>
  <c r="D70" i="5"/>
  <c r="D69" i="5"/>
  <c r="D68" i="5"/>
  <c r="D67" i="5"/>
  <c r="D66" i="5"/>
  <c r="D65" i="5"/>
  <c r="D64" i="5"/>
  <c r="D63" i="5"/>
  <c r="D62" i="5"/>
  <c r="D59" i="5"/>
  <c r="D58" i="5"/>
  <c r="D57" i="5"/>
  <c r="D56" i="5"/>
  <c r="D55" i="5"/>
  <c r="D54" i="5"/>
  <c r="D53" i="5"/>
  <c r="D40" i="5"/>
  <c r="D39" i="5"/>
  <c r="D31" i="5"/>
  <c r="D30" i="5"/>
  <c r="D29" i="5"/>
  <c r="D28" i="5"/>
  <c r="D27" i="5"/>
  <c r="D14" i="5"/>
  <c r="D5" i="5"/>
  <c r="D6" i="5"/>
  <c r="D4" i="5"/>
  <c r="G10" i="5"/>
  <c r="G11" i="5"/>
  <c r="G9" i="5"/>
  <c r="C10" i="5"/>
  <c r="C18" i="5" s="1"/>
  <c r="C11" i="5"/>
  <c r="C19" i="5" s="1"/>
  <c r="C9" i="5"/>
  <c r="D182" i="7"/>
  <c r="D181" i="7"/>
  <c r="D180" i="7"/>
  <c r="D179" i="7"/>
  <c r="D176" i="7"/>
  <c r="D175" i="7"/>
  <c r="D174" i="7"/>
  <c r="D173" i="7"/>
  <c r="D172" i="7"/>
  <c r="D162" i="7"/>
  <c r="D161" i="7"/>
  <c r="D160" i="7"/>
  <c r="D159" i="7"/>
  <c r="D158" i="7"/>
  <c r="D157" i="7"/>
  <c r="D145" i="7"/>
  <c r="D144" i="7"/>
  <c r="D143" i="7"/>
  <c r="D128" i="7"/>
  <c r="D127" i="7"/>
  <c r="D152" i="7"/>
  <c r="D151" i="7"/>
  <c r="D150" i="7"/>
  <c r="D149" i="7"/>
  <c r="D134" i="7"/>
  <c r="D133" i="7"/>
  <c r="D132" i="7"/>
  <c r="D124" i="7"/>
  <c r="D123" i="7"/>
  <c r="D122" i="7"/>
  <c r="D97" i="7"/>
  <c r="D98" i="7"/>
  <c r="D96" i="7"/>
  <c r="D112" i="7"/>
  <c r="D113" i="7"/>
  <c r="D111" i="7"/>
  <c r="D45" i="7"/>
  <c r="D46" i="7"/>
  <c r="D47" i="7"/>
  <c r="D48" i="7"/>
  <c r="D44" i="7"/>
  <c r="D72" i="7"/>
  <c r="D73" i="7"/>
  <c r="D74" i="7"/>
  <c r="D71" i="7"/>
  <c r="D66" i="7"/>
  <c r="D67" i="7"/>
  <c r="D68" i="7"/>
  <c r="D65" i="7"/>
  <c r="D60" i="7"/>
  <c r="D61" i="7"/>
  <c r="D62" i="7"/>
  <c r="D59" i="7"/>
  <c r="D52" i="7"/>
  <c r="D53" i="7"/>
  <c r="D54" i="7"/>
  <c r="D55" i="7"/>
  <c r="D56" i="7"/>
  <c r="D51" i="7"/>
  <c r="D36" i="7"/>
  <c r="D37" i="7"/>
  <c r="D38" i="7"/>
  <c r="D39" i="7"/>
  <c r="D40" i="7"/>
  <c r="D41" i="7"/>
  <c r="D35" i="7"/>
  <c r="D28" i="7"/>
  <c r="D29" i="7"/>
  <c r="D30" i="7"/>
  <c r="D31" i="7"/>
  <c r="D32" i="7"/>
  <c r="D27" i="7"/>
  <c r="F34" i="5" l="1"/>
  <c r="L34" i="5"/>
  <c r="K34" i="5"/>
  <c r="F38" i="5"/>
  <c r="L38" i="5"/>
  <c r="K38" i="5"/>
  <c r="F37" i="5"/>
  <c r="K37" i="5"/>
  <c r="L37" i="5"/>
  <c r="F35" i="5"/>
  <c r="L35" i="5"/>
  <c r="K35" i="5"/>
  <c r="F9" i="5"/>
  <c r="L9" i="5"/>
  <c r="K9" i="5"/>
  <c r="L22" i="5"/>
  <c r="K22" i="5"/>
  <c r="F11" i="5"/>
  <c r="K11" i="5"/>
  <c r="L11" i="5"/>
  <c r="F10" i="5"/>
  <c r="L10" i="5"/>
  <c r="K10" i="5"/>
  <c r="F36" i="5"/>
  <c r="K36" i="5"/>
  <c r="L36" i="5"/>
  <c r="E56" i="34"/>
  <c r="O38" i="5"/>
  <c r="P38" i="5"/>
  <c r="Q38" i="5"/>
  <c r="O22" i="5"/>
  <c r="Q22" i="5"/>
  <c r="P22" i="5"/>
  <c r="P37" i="5"/>
  <c r="O37" i="5"/>
  <c r="Q37" i="5"/>
  <c r="O7" i="34"/>
  <c r="B11" i="34" s="1"/>
  <c r="L20" i="29"/>
  <c r="M22" i="5"/>
  <c r="N22" i="5"/>
  <c r="M38" i="5"/>
  <c r="N38" i="5"/>
  <c r="N37" i="5"/>
  <c r="M37" i="5"/>
  <c r="D11" i="5"/>
  <c r="D36" i="5"/>
  <c r="K11" i="30"/>
  <c r="C63" i="40" a="1"/>
  <c r="C63" i="40" s="1"/>
  <c r="G41" i="30" s="1"/>
  <c r="B38" i="38"/>
  <c r="E38" i="38" s="1"/>
  <c r="K119" i="31"/>
  <c r="E45" i="40" a="1"/>
  <c r="E45" i="40" s="1"/>
  <c r="D9" i="5"/>
  <c r="D34" i="5"/>
  <c r="D35" i="5"/>
  <c r="C17" i="5"/>
  <c r="G24" i="31" s="1" a="1"/>
  <c r="G24" i="31" s="1"/>
  <c r="D38" i="5"/>
  <c r="D37" i="5"/>
  <c r="G17" i="5"/>
  <c r="G19" i="5"/>
  <c r="G18" i="5"/>
  <c r="D10" i="5"/>
  <c r="D21" i="7"/>
  <c r="D22" i="7"/>
  <c r="D20" i="7"/>
  <c r="D218" i="7"/>
  <c r="D219" i="7"/>
  <c r="D217" i="7"/>
  <c r="D213" i="7"/>
  <c r="D214" i="7"/>
  <c r="D212" i="7"/>
  <c r="D9" i="7"/>
  <c r="D13" i="7"/>
  <c r="D12" i="7"/>
  <c r="F18" i="5" l="1"/>
  <c r="L18" i="5"/>
  <c r="K18" i="5"/>
  <c r="F19" i="5"/>
  <c r="L19" i="5"/>
  <c r="K19" i="5"/>
  <c r="L17" i="5"/>
  <c r="L23" i="5" s="1"/>
  <c r="K17" i="5"/>
  <c r="K23" i="5" s="1"/>
  <c r="D56" i="34"/>
  <c r="C56" i="34"/>
  <c r="B57" i="34"/>
  <c r="E57" i="34"/>
  <c r="C57" i="34"/>
  <c r="D57" i="34"/>
  <c r="K110" i="31"/>
  <c r="F17" i="5"/>
  <c r="I24" i="31" a="1"/>
  <c r="I24" i="31" s="1"/>
  <c r="C38" i="38"/>
  <c r="D18" i="5"/>
  <c r="D19" i="5"/>
  <c r="D17" i="5"/>
  <c r="H24" i="31" s="1" a="1"/>
  <c r="H24" i="31" s="1"/>
  <c r="J24" i="31" l="1"/>
  <c r="F24" i="31"/>
  <c r="F41" i="31"/>
  <c r="D4" i="11"/>
  <c r="H6" i="31" s="1" a="1"/>
  <c r="H6" i="31" s="1"/>
  <c r="B3" i="37" s="1" a="1"/>
  <c r="B3" i="37" s="1"/>
  <c r="E3" i="37" s="1"/>
  <c r="I25" i="31" l="1" a="1"/>
  <c r="I25" i="31" s="1"/>
  <c r="G25" i="31" a="1"/>
  <c r="G25" i="31" s="1"/>
  <c r="H25" i="31" a="1"/>
  <c r="H25" i="31" s="1"/>
  <c r="J25" i="31" l="1"/>
  <c r="F25" i="31"/>
  <c r="I26" i="31" l="1" a="1"/>
  <c r="I26" i="31" s="1"/>
  <c r="G26" i="31" a="1"/>
  <c r="G26" i="31" s="1"/>
  <c r="H26" i="31" a="1"/>
  <c r="H26" i="31" s="1"/>
  <c r="L18" i="29" l="1" a="1"/>
  <c r="L18" i="29" s="1"/>
  <c r="J26" i="31"/>
  <c r="F26" i="31"/>
  <c r="L41" i="30"/>
  <c r="C1" i="32"/>
  <c r="B1" i="32"/>
  <c r="D5" i="7"/>
  <c r="D6" i="7"/>
  <c r="D4" i="7"/>
  <c r="K41" i="30" l="1"/>
  <c r="K169" i="31" s="1"/>
  <c r="G27" i="31" a="1"/>
  <c r="G27" i="31" s="1"/>
  <c r="I27" i="31" a="1"/>
  <c r="I27" i="31" s="1"/>
  <c r="M27" i="31" a="1"/>
  <c r="M27" i="31" s="1"/>
  <c r="H27" i="31" a="1"/>
  <c r="H27" i="31" s="1"/>
  <c r="F16" i="29"/>
  <c r="L45" i="30"/>
  <c r="K45" i="30" s="1"/>
  <c r="K12" i="30" l="1"/>
  <c r="K23" i="31" s="1"/>
  <c r="K27" i="31" s="1"/>
  <c r="L16" i="30"/>
  <c r="K16" i="30" s="1"/>
  <c r="K35" i="30"/>
  <c r="K29" i="30"/>
  <c r="E5" i="51" s="1"/>
  <c r="K26" i="30"/>
  <c r="K183" i="31"/>
  <c r="L46" i="30"/>
  <c r="J27" i="31"/>
  <c r="F27" i="31"/>
  <c r="L57" i="30"/>
  <c r="K57" i="30" s="1"/>
  <c r="L54" i="30"/>
  <c r="K54" i="30" s="1"/>
  <c r="F68" i="30"/>
  <c r="E267" i="31" s="1"/>
  <c r="F267" i="31" s="1"/>
  <c r="F66" i="30"/>
  <c r="E265" i="31" s="1"/>
  <c r="F265" i="31" s="1"/>
  <c r="F65" i="30"/>
  <c r="E264" i="31" s="1"/>
  <c r="F264" i="31" s="1"/>
  <c r="F63" i="30"/>
  <c r="F61" i="30"/>
  <c r="E259" i="31" s="1"/>
  <c r="E30" i="51" l="1"/>
  <c r="O63" i="51"/>
  <c r="Q63" i="51"/>
  <c r="P63" i="51"/>
  <c r="J63" i="51"/>
  <c r="F63" i="51"/>
  <c r="I63" i="51"/>
  <c r="K63" i="51"/>
  <c r="M63" i="51"/>
  <c r="L63" i="51"/>
  <c r="N63" i="51"/>
  <c r="H63" i="51"/>
  <c r="G63" i="51"/>
  <c r="E261" i="31"/>
  <c r="F261" i="31" s="1"/>
  <c r="H261" i="31" s="1" a="1"/>
  <c r="H261" i="31" s="1"/>
  <c r="I23" i="34"/>
  <c r="F84" i="30"/>
  <c r="H264" i="31" a="1"/>
  <c r="H264" i="31" s="1"/>
  <c r="H267" i="31" a="1"/>
  <c r="H267" i="31" s="1"/>
  <c r="H265" i="31" a="1"/>
  <c r="H265" i="31" s="1"/>
  <c r="K46" i="30"/>
  <c r="K192" i="31" s="1"/>
  <c r="L17" i="29"/>
  <c r="K28" i="30"/>
  <c r="K106" i="31"/>
  <c r="I28" i="31" a="1"/>
  <c r="I28" i="31" s="1"/>
  <c r="H28" i="31" a="1"/>
  <c r="H28" i="31" s="1"/>
  <c r="M28" i="31" a="1"/>
  <c r="M28" i="31" s="1"/>
  <c r="K28" i="31" s="1"/>
  <c r="U28" i="31" s="1" a="1"/>
  <c r="U28" i="31" s="1"/>
  <c r="G28" i="31" a="1"/>
  <c r="G28" i="31" s="1"/>
  <c r="D93" i="11"/>
  <c r="G265" i="31" a="1"/>
  <c r="G265" i="31" s="1"/>
  <c r="I265" i="31" a="1"/>
  <c r="I265" i="31" s="1"/>
  <c r="M265" i="31" a="1"/>
  <c r="M265" i="31" s="1"/>
  <c r="K265" i="31" s="1"/>
  <c r="Z265" i="31" s="1" a="1"/>
  <c r="Z265" i="31" s="1"/>
  <c r="L265" i="31" a="1"/>
  <c r="L265" i="31" s="1"/>
  <c r="W265" i="31" s="1"/>
  <c r="L264" i="31" a="1"/>
  <c r="L264" i="31" s="1"/>
  <c r="G264" i="31" a="1"/>
  <c r="G264" i="31" s="1"/>
  <c r="I264" i="31" a="1"/>
  <c r="I264" i="31" s="1"/>
  <c r="M264" i="31" a="1"/>
  <c r="M264" i="31" s="1"/>
  <c r="L267" i="31" a="1"/>
  <c r="L267" i="31" s="1"/>
  <c r="W267" i="31" s="1"/>
  <c r="M267" i="31" a="1"/>
  <c r="M267" i="31" s="1"/>
  <c r="I267" i="31" a="1"/>
  <c r="I267" i="31" s="1"/>
  <c r="G267" i="31" a="1"/>
  <c r="G267" i="31" s="1"/>
  <c r="K8" i="31"/>
  <c r="F41" i="30"/>
  <c r="F32" i="30"/>
  <c r="E119" i="31" s="1"/>
  <c r="F31" i="30"/>
  <c r="F23" i="30"/>
  <c r="H22" i="7"/>
  <c r="H20" i="7"/>
  <c r="F119" i="31"/>
  <c r="G261" i="31" l="1" a="1"/>
  <c r="G261" i="31" s="1"/>
  <c r="I261" i="31" a="1"/>
  <c r="I261" i="31" s="1"/>
  <c r="M261" i="31" a="1"/>
  <c r="M261" i="31" s="1"/>
  <c r="L261" i="31" a="1"/>
  <c r="L261" i="31" s="1"/>
  <c r="X261" i="31" s="1"/>
  <c r="K20" i="7"/>
  <c r="L20" i="7"/>
  <c r="L22" i="7"/>
  <c r="K22" i="7"/>
  <c r="J80" i="51"/>
  <c r="M80" i="51"/>
  <c r="L80" i="51"/>
  <c r="F80" i="51"/>
  <c r="I80" i="51"/>
  <c r="O80" i="51"/>
  <c r="Q80" i="51"/>
  <c r="P80" i="51"/>
  <c r="H80" i="51"/>
  <c r="K80" i="51"/>
  <c r="N80" i="51"/>
  <c r="G80" i="51"/>
  <c r="F31" i="32"/>
  <c r="N84" i="30"/>
  <c r="O84" i="30" s="1"/>
  <c r="O265" i="31" a="1"/>
  <c r="O265" i="31" s="1"/>
  <c r="V265" i="31" a="1"/>
  <c r="V265" i="31" s="1"/>
  <c r="S265" i="31" a="1"/>
  <c r="S265" i="31" s="1"/>
  <c r="O28" i="31" a="1"/>
  <c r="O28" i="31" s="1"/>
  <c r="S28" i="31" a="1"/>
  <c r="S28" i="31" s="1"/>
  <c r="V28" i="31" a="1"/>
  <c r="V28" i="31" s="1"/>
  <c r="Z28" i="31" a="1"/>
  <c r="Z28" i="31" s="1"/>
  <c r="W264" i="31"/>
  <c r="X264" i="31"/>
  <c r="J28" i="31"/>
  <c r="F28" i="31"/>
  <c r="Q20" i="7"/>
  <c r="P20" i="7"/>
  <c r="Q22" i="7"/>
  <c r="P22" i="7"/>
  <c r="Q261" i="31"/>
  <c r="P264" i="31"/>
  <c r="Q264" i="31"/>
  <c r="P265" i="31"/>
  <c r="P267" i="31"/>
  <c r="O22" i="7"/>
  <c r="M22" i="7"/>
  <c r="N22" i="7"/>
  <c r="O20" i="7"/>
  <c r="M20" i="7"/>
  <c r="N20" i="7"/>
  <c r="H21" i="7"/>
  <c r="K264" i="31"/>
  <c r="D95" i="11"/>
  <c r="L120" i="31" a="1"/>
  <c r="L120" i="31" s="1"/>
  <c r="I120" i="31" a="1"/>
  <c r="I120" i="31" s="1"/>
  <c r="J120" i="31" s="1"/>
  <c r="H120" i="31" a="1"/>
  <c r="H120" i="31" s="1"/>
  <c r="G120" i="31" a="1"/>
  <c r="G120" i="31" s="1"/>
  <c r="E169" i="31"/>
  <c r="E110" i="31"/>
  <c r="K32" i="31"/>
  <c r="E76" i="31"/>
  <c r="F76" i="31"/>
  <c r="F169" i="31"/>
  <c r="F110" i="31"/>
  <c r="AB111" i="31" l="1" a="1"/>
  <c r="AB111" i="31" s="1"/>
  <c r="L21" i="7"/>
  <c r="L23" i="7" s="1"/>
  <c r="K21" i="7"/>
  <c r="K23" i="7" s="1"/>
  <c r="V264" i="31" a="1"/>
  <c r="V264" i="31" s="1"/>
  <c r="Z264" i="31" a="1"/>
  <c r="Z264" i="31" s="1"/>
  <c r="S264" i="31" a="1"/>
  <c r="S264" i="31" s="1"/>
  <c r="O264" i="31" a="1"/>
  <c r="O264" i="31" s="1"/>
  <c r="W120" i="31"/>
  <c r="P120" i="31"/>
  <c r="X265" i="31"/>
  <c r="R28" i="31" a="1"/>
  <c r="R28" i="31" s="1"/>
  <c r="M29" i="31" a="1"/>
  <c r="M29" i="31" s="1"/>
  <c r="K29" i="31" s="1"/>
  <c r="V29" i="31" s="1" a="1"/>
  <c r="V29" i="31" s="1"/>
  <c r="I29" i="31" a="1"/>
  <c r="I29" i="31" s="1"/>
  <c r="G29" i="31" a="1"/>
  <c r="G29" i="31" s="1"/>
  <c r="H29" i="31" a="1"/>
  <c r="H29" i="31" s="1"/>
  <c r="M77" i="31" a="1"/>
  <c r="M77" i="31" s="1"/>
  <c r="Q21" i="7"/>
  <c r="Q23" i="7" s="1"/>
  <c r="P21" i="7"/>
  <c r="P23" i="7" s="1"/>
  <c r="R265" i="31" a="1"/>
  <c r="R265" i="31" s="1"/>
  <c r="Q265" i="31"/>
  <c r="O21" i="7"/>
  <c r="O23" i="7" s="1"/>
  <c r="M21" i="7"/>
  <c r="M23" i="7" s="1"/>
  <c r="N21" i="7"/>
  <c r="N23" i="7" s="1"/>
  <c r="M170" i="31" a="1"/>
  <c r="M170" i="31" s="1"/>
  <c r="K170" i="31" s="1"/>
  <c r="Z170" i="31" s="1" a="1"/>
  <c r="Z170" i="31" s="1"/>
  <c r="L170" i="31" a="1"/>
  <c r="L170" i="31" s="1"/>
  <c r="I170" i="31" a="1"/>
  <c r="I170" i="31" s="1"/>
  <c r="J170" i="31" s="1"/>
  <c r="H170" i="31" a="1"/>
  <c r="H170" i="31" s="1"/>
  <c r="G170" i="31" a="1"/>
  <c r="G170" i="31" s="1"/>
  <c r="F120" i="31"/>
  <c r="I111" i="31" a="1"/>
  <c r="I111" i="31" s="1"/>
  <c r="J111" i="31" s="1"/>
  <c r="H111" i="31" a="1"/>
  <c r="H111" i="31" s="1"/>
  <c r="G111" i="31" a="1"/>
  <c r="G111" i="31" s="1"/>
  <c r="L111" i="31" a="1"/>
  <c r="L111" i="31" s="1"/>
  <c r="X111" i="31" s="1"/>
  <c r="L77" i="31" a="1"/>
  <c r="L77" i="31" s="1"/>
  <c r="I77" i="31" a="1"/>
  <c r="I77" i="31" s="1"/>
  <c r="J77" i="31" s="1"/>
  <c r="H77" i="31" a="1"/>
  <c r="H77" i="31" s="1"/>
  <c r="G77" i="31" a="1"/>
  <c r="G77" i="31" s="1"/>
  <c r="M95" i="11"/>
  <c r="F45" i="30"/>
  <c r="G16" i="30"/>
  <c r="F16" i="30" s="1"/>
  <c r="F14" i="30"/>
  <c r="E9" i="51" s="1"/>
  <c r="F11" i="30"/>
  <c r="E15" i="31" s="1"/>
  <c r="F69" i="30"/>
  <c r="E268" i="31" s="1"/>
  <c r="F268" i="31" s="1"/>
  <c r="F64" i="30"/>
  <c r="E262" i="31" s="1"/>
  <c r="F262" i="31" s="1"/>
  <c r="F60" i="30"/>
  <c r="E258" i="31" s="1"/>
  <c r="F258" i="31" s="1"/>
  <c r="F37" i="30"/>
  <c r="F36" i="30"/>
  <c r="F35" i="30"/>
  <c r="F26" i="30"/>
  <c r="G57" i="30" s="1" a="1"/>
  <c r="G57" i="30" s="1"/>
  <c r="F57" i="30" s="1"/>
  <c r="E247" i="31" s="1"/>
  <c r="F20" i="30"/>
  <c r="F247" i="31"/>
  <c r="F15" i="31"/>
  <c r="O67" i="51" l="1"/>
  <c r="J67" i="51"/>
  <c r="F67" i="51"/>
  <c r="I67" i="51"/>
  <c r="K67" i="51"/>
  <c r="G67" i="51"/>
  <c r="M67" i="51"/>
  <c r="L67" i="51"/>
  <c r="N67" i="51"/>
  <c r="P67" i="51"/>
  <c r="Q67" i="51"/>
  <c r="H67" i="51"/>
  <c r="Q170" i="31"/>
  <c r="X170" i="31"/>
  <c r="W170" i="31"/>
  <c r="P170" i="31"/>
  <c r="O170" i="31" a="1"/>
  <c r="O170" i="31" s="1"/>
  <c r="S170" i="31" a="1"/>
  <c r="S170" i="31" s="1"/>
  <c r="U170" i="31" a="1"/>
  <c r="U170" i="31" s="1"/>
  <c r="V170" i="31" a="1"/>
  <c r="V170" i="31" s="1"/>
  <c r="W77" i="31"/>
  <c r="P77" i="31"/>
  <c r="Z29" i="31" a="1"/>
  <c r="Z29" i="31" s="1"/>
  <c r="S29" i="31" a="1"/>
  <c r="S29" i="31" s="1"/>
  <c r="O29" i="31" a="1"/>
  <c r="O29" i="31" s="1"/>
  <c r="U29" i="31" a="1"/>
  <c r="U29" i="31" s="1"/>
  <c r="H262" i="31" a="1"/>
  <c r="H262" i="31" s="1"/>
  <c r="H268" i="31" a="1"/>
  <c r="H268" i="31" s="1"/>
  <c r="H258" i="31" a="1"/>
  <c r="H258" i="31" s="1"/>
  <c r="W111" i="31"/>
  <c r="S23" i="7"/>
  <c r="F263" i="31"/>
  <c r="E144" i="31"/>
  <c r="G58" i="30"/>
  <c r="F58" i="30" s="1"/>
  <c r="E252" i="31" s="1"/>
  <c r="G248" i="31" a="1"/>
  <c r="G248" i="31" s="1"/>
  <c r="I248" i="31" a="1"/>
  <c r="I248" i="31" s="1"/>
  <c r="L248" i="31" a="1"/>
  <c r="L248" i="31" s="1"/>
  <c r="M248" i="31" a="1"/>
  <c r="M248" i="31" s="1"/>
  <c r="H248" i="31" a="1"/>
  <c r="H248" i="31" s="1"/>
  <c r="T28" i="31"/>
  <c r="J29" i="31"/>
  <c r="F29" i="31"/>
  <c r="R264" i="31" a="1"/>
  <c r="R264" i="31" s="1"/>
  <c r="P111" i="31"/>
  <c r="L16" i="31" a="1"/>
  <c r="L16" i="31" s="1"/>
  <c r="X16" i="31" s="1"/>
  <c r="K12" i="31"/>
  <c r="M258" i="31" a="1"/>
  <c r="M258" i="31" s="1"/>
  <c r="I258" i="31" a="1"/>
  <c r="I258" i="31" s="1"/>
  <c r="G258" i="31" a="1"/>
  <c r="G258" i="31" s="1"/>
  <c r="L258" i="31" a="1"/>
  <c r="L258" i="31" s="1"/>
  <c r="G268" i="31" a="1"/>
  <c r="G268" i="31" s="1"/>
  <c r="L268" i="31" a="1"/>
  <c r="L268" i="31" s="1"/>
  <c r="M268" i="31" a="1"/>
  <c r="M268" i="31" s="1"/>
  <c r="I268" i="31" a="1"/>
  <c r="I268" i="31" s="1"/>
  <c r="F111" i="31"/>
  <c r="G262" i="31" a="1"/>
  <c r="G262" i="31" s="1"/>
  <c r="I262" i="31" a="1"/>
  <c r="I262" i="31" s="1"/>
  <c r="M262" i="31" a="1"/>
  <c r="M262" i="31" s="1"/>
  <c r="L262" i="31" a="1"/>
  <c r="L262" i="31" s="1"/>
  <c r="F170" i="31"/>
  <c r="G121" i="31" a="1"/>
  <c r="G121" i="31" s="1"/>
  <c r="H121" i="31" a="1"/>
  <c r="H121" i="31" s="1"/>
  <c r="I121" i="31" a="1"/>
  <c r="I121" i="31" s="1"/>
  <c r="J121" i="31" s="1"/>
  <c r="M121" i="31" a="1"/>
  <c r="M121" i="31" s="1"/>
  <c r="K121" i="31" s="1"/>
  <c r="U121" i="31" s="1" a="1"/>
  <c r="U121" i="31" s="1"/>
  <c r="L121" i="31" a="1"/>
  <c r="L121" i="31" s="1"/>
  <c r="F77" i="31"/>
  <c r="G16" i="31" a="1"/>
  <c r="G16" i="31" s="1"/>
  <c r="H16" i="31" a="1"/>
  <c r="H16" i="31" s="1"/>
  <c r="I16" i="31" a="1"/>
  <c r="I16" i="31" s="1"/>
  <c r="E183" i="31"/>
  <c r="E135" i="31"/>
  <c r="E54" i="31"/>
  <c r="E62" i="31"/>
  <c r="E197" i="31"/>
  <c r="E211" i="31"/>
  <c r="E153" i="31"/>
  <c r="E32" i="31"/>
  <c r="E42" i="31"/>
  <c r="E96" i="31"/>
  <c r="E87" i="31"/>
  <c r="D20" i="11"/>
  <c r="A21" i="11"/>
  <c r="D22" i="11"/>
  <c r="A23" i="11"/>
  <c r="G8" i="30" s="1"/>
  <c r="A19" i="11"/>
  <c r="D11" i="11"/>
  <c r="D12" i="11"/>
  <c r="A12" i="11" s="1"/>
  <c r="D13" i="11"/>
  <c r="D14" i="11"/>
  <c r="A14" i="11" s="1"/>
  <c r="D15" i="11"/>
  <c r="D16" i="11"/>
  <c r="A10" i="11"/>
  <c r="G7" i="30" s="1"/>
  <c r="D9" i="11"/>
  <c r="F32" i="31"/>
  <c r="F252" i="31"/>
  <c r="F135" i="31"/>
  <c r="F183" i="31"/>
  <c r="F197" i="31"/>
  <c r="F144" i="31"/>
  <c r="F211" i="31"/>
  <c r="F54" i="31"/>
  <c r="F42" i="31"/>
  <c r="F62" i="31"/>
  <c r="F96" i="31"/>
  <c r="F153" i="31"/>
  <c r="F87" i="31"/>
  <c r="AB55" i="31" l="1" a="1"/>
  <c r="AB55" i="31" s="1"/>
  <c r="W248" i="31"/>
  <c r="P248" i="31"/>
  <c r="R170" i="31" a="1"/>
  <c r="R170" i="31" s="1"/>
  <c r="T170" i="31" s="1"/>
  <c r="Y170" i="31" s="1" a="1"/>
  <c r="Y170" i="31" s="1"/>
  <c r="AA170" i="31" s="1"/>
  <c r="O121" i="31" a="1"/>
  <c r="O121" i="31" s="1"/>
  <c r="Z121" i="31" a="1"/>
  <c r="Z121" i="31" s="1"/>
  <c r="V121" i="31" a="1"/>
  <c r="V121" i="31" s="1"/>
  <c r="S121" i="31" a="1"/>
  <c r="S121" i="31" s="1"/>
  <c r="W121" i="31"/>
  <c r="P121" i="31"/>
  <c r="Y28" i="31" a="1"/>
  <c r="Y28" i="31" s="1"/>
  <c r="AA28" i="31" s="1"/>
  <c r="W262" i="31"/>
  <c r="W268" i="31"/>
  <c r="W266" i="31" s="1"/>
  <c r="W258" i="31"/>
  <c r="W257" i="31" s="1"/>
  <c r="H263" i="31" a="1"/>
  <c r="H263" i="31" s="1"/>
  <c r="M78" i="31" a="1"/>
  <c r="M78" i="31" s="1"/>
  <c r="W16" i="31"/>
  <c r="F16" i="31"/>
  <c r="G263" i="31" a="1"/>
  <c r="G263" i="31" s="1"/>
  <c r="I263" i="31" a="1"/>
  <c r="I263" i="31" s="1"/>
  <c r="L263" i="31" a="1"/>
  <c r="L263" i="31" s="1"/>
  <c r="M263" i="31" a="1"/>
  <c r="M263" i="31" s="1"/>
  <c r="M253" i="31" a="1"/>
  <c r="M253" i="31" s="1"/>
  <c r="G253" i="31" a="1"/>
  <c r="G253" i="31" s="1"/>
  <c r="L253" i="31" a="1"/>
  <c r="L253" i="31" s="1"/>
  <c r="I253" i="31" a="1"/>
  <c r="I253" i="31" s="1"/>
  <c r="H253" i="31" a="1"/>
  <c r="H253" i="31" s="1"/>
  <c r="L145" i="31" a="1"/>
  <c r="L145" i="31" s="1"/>
  <c r="I145" i="31" a="1"/>
  <c r="I145" i="31" s="1"/>
  <c r="J145" i="31" s="1"/>
  <c r="G145" i="31" a="1"/>
  <c r="G145" i="31" s="1"/>
  <c r="H145" i="31" a="1"/>
  <c r="H145" i="31" s="1"/>
  <c r="F248" i="31"/>
  <c r="J248" i="31"/>
  <c r="P21" i="30"/>
  <c r="G30" i="31" a="1"/>
  <c r="G30" i="31" s="1"/>
  <c r="I30" i="31" a="1"/>
  <c r="I30" i="31" s="1"/>
  <c r="H30" i="31" a="1"/>
  <c r="H30" i="31" s="1"/>
  <c r="M30" i="31" a="1"/>
  <c r="M30" i="31" s="1"/>
  <c r="K30" i="31" s="1"/>
  <c r="Z30" i="31" s="1" a="1"/>
  <c r="Z30" i="31" s="1"/>
  <c r="P258" i="31"/>
  <c r="P268" i="31"/>
  <c r="P262" i="31"/>
  <c r="Q16" i="31"/>
  <c r="P16" i="31"/>
  <c r="G112" i="31" a="1"/>
  <c r="G112" i="31" s="1"/>
  <c r="J16" i="31"/>
  <c r="A25" i="40" a="1"/>
  <c r="A25" i="40" s="1"/>
  <c r="B25" i="40" a="1"/>
  <c r="B25" i="40" s="1"/>
  <c r="K5" i="31"/>
  <c r="L112" i="31" a="1"/>
  <c r="L112" i="31" s="1"/>
  <c r="H112" i="31" a="1"/>
  <c r="H112" i="31" s="1"/>
  <c r="I112" i="31" a="1"/>
  <c r="I112" i="31" s="1"/>
  <c r="L212" i="31" a="1"/>
  <c r="L212" i="31" s="1"/>
  <c r="M212" i="31" a="1"/>
  <c r="M212" i="31" s="1"/>
  <c r="I212" i="31" a="1"/>
  <c r="I212" i="31" s="1"/>
  <c r="J212" i="31" s="1"/>
  <c r="H212" i="31" a="1"/>
  <c r="H212" i="31" s="1"/>
  <c r="G212" i="31" a="1"/>
  <c r="G212" i="31" s="1"/>
  <c r="L198" i="31" a="1"/>
  <c r="L198" i="31" s="1"/>
  <c r="M198" i="31" a="1"/>
  <c r="M198" i="31" s="1"/>
  <c r="I198" i="31" a="1"/>
  <c r="I198" i="31" s="1"/>
  <c r="J198" i="31" s="1"/>
  <c r="H198" i="31" a="1"/>
  <c r="H198" i="31" s="1"/>
  <c r="G198" i="31" a="1"/>
  <c r="G198" i="31" s="1"/>
  <c r="L184" i="31" a="1"/>
  <c r="L184" i="31" s="1"/>
  <c r="M184" i="31" a="1"/>
  <c r="M184" i="31" s="1"/>
  <c r="K184" i="31" s="1"/>
  <c r="Z184" i="31" s="1" a="1"/>
  <c r="Z184" i="31" s="1"/>
  <c r="I184" i="31" a="1"/>
  <c r="I184" i="31" s="1"/>
  <c r="J184" i="31" s="1"/>
  <c r="H184" i="31" a="1"/>
  <c r="H184" i="31" s="1"/>
  <c r="G184" i="31" a="1"/>
  <c r="G184" i="31" s="1"/>
  <c r="I171" i="31" a="1"/>
  <c r="I171" i="31" s="1"/>
  <c r="J171" i="31" s="1"/>
  <c r="G171" i="31" a="1"/>
  <c r="G171" i="31" s="1"/>
  <c r="H171" i="31" a="1"/>
  <c r="H171" i="31" s="1"/>
  <c r="L171" i="31" a="1"/>
  <c r="L171" i="31" s="1"/>
  <c r="L154" i="31" a="1"/>
  <c r="L154" i="31" s="1"/>
  <c r="I154" i="31" a="1"/>
  <c r="I154" i="31" s="1"/>
  <c r="J154" i="31" s="1"/>
  <c r="H154" i="31" a="1"/>
  <c r="H154" i="31" s="1"/>
  <c r="G154" i="31" a="1"/>
  <c r="G154" i="31" s="1"/>
  <c r="L136" i="31" a="1"/>
  <c r="L136" i="31" s="1"/>
  <c r="I136" i="31" a="1"/>
  <c r="I136" i="31" s="1"/>
  <c r="J136" i="31" s="1"/>
  <c r="H136" i="31" a="1"/>
  <c r="H136" i="31" s="1"/>
  <c r="G136" i="31" a="1"/>
  <c r="G136" i="31" s="1"/>
  <c r="F121" i="31"/>
  <c r="L97" i="31" a="1"/>
  <c r="L97" i="31" s="1"/>
  <c r="I97" i="31" a="1"/>
  <c r="I97" i="31" s="1"/>
  <c r="J97" i="31" s="1"/>
  <c r="H97" i="31" a="1"/>
  <c r="H97" i="31" s="1"/>
  <c r="G97" i="31" a="1"/>
  <c r="G97" i="31" s="1"/>
  <c r="L88" i="31" a="1"/>
  <c r="L88" i="31" s="1"/>
  <c r="I88" i="31" a="1"/>
  <c r="I88" i="31" s="1"/>
  <c r="J88" i="31" s="1"/>
  <c r="H88" i="31" a="1"/>
  <c r="H88" i="31" s="1"/>
  <c r="G88" i="31" a="1"/>
  <c r="G88" i="31" s="1"/>
  <c r="G78" i="31" a="1"/>
  <c r="G78" i="31" s="1"/>
  <c r="H78" i="31" a="1"/>
  <c r="H78" i="31" s="1"/>
  <c r="I78" i="31" a="1"/>
  <c r="I78" i="31" s="1"/>
  <c r="J78" i="31" s="1"/>
  <c r="L78" i="31" a="1"/>
  <c r="L78" i="31" s="1"/>
  <c r="L63" i="31" a="1"/>
  <c r="L63" i="31" s="1"/>
  <c r="I63" i="31" a="1"/>
  <c r="I63" i="31" s="1"/>
  <c r="J63" i="31" s="1"/>
  <c r="H63" i="31" a="1"/>
  <c r="H63" i="31" s="1"/>
  <c r="G63" i="31" a="1"/>
  <c r="G63" i="31" s="1"/>
  <c r="L55" i="31" a="1"/>
  <c r="L55" i="31" s="1"/>
  <c r="X55" i="31" s="1"/>
  <c r="I55" i="31" a="1"/>
  <c r="I55" i="31" s="1"/>
  <c r="J55" i="31" s="1"/>
  <c r="H55" i="31" a="1"/>
  <c r="H55" i="31" s="1"/>
  <c r="G55" i="31" a="1"/>
  <c r="G55" i="31" s="1"/>
  <c r="G43" i="31" a="1"/>
  <c r="G43" i="31" s="1"/>
  <c r="L43" i="31" a="1"/>
  <c r="L43" i="31" s="1"/>
  <c r="I43" i="31" a="1"/>
  <c r="I43" i="31" s="1"/>
  <c r="J43" i="31" s="1"/>
  <c r="H43" i="31" a="1"/>
  <c r="H43" i="31" s="1"/>
  <c r="L33" i="31" a="1"/>
  <c r="L33" i="31" s="1"/>
  <c r="X33" i="31" s="1"/>
  <c r="I33" i="31" a="1"/>
  <c r="I33" i="31" s="1"/>
  <c r="J33" i="31" s="1"/>
  <c r="H33" i="31" a="1"/>
  <c r="H33" i="31" s="1"/>
  <c r="G33" i="31" a="1"/>
  <c r="G33" i="31" s="1"/>
  <c r="F8" i="30"/>
  <c r="E10" i="31" s="1"/>
  <c r="F10" i="31" s="1"/>
  <c r="M11" i="31" s="1" a="1"/>
  <c r="M11" i="31" s="1"/>
  <c r="K135" i="31"/>
  <c r="L8" i="30"/>
  <c r="W253" i="31" l="1"/>
  <c r="P253" i="31"/>
  <c r="P212" i="31"/>
  <c r="W212" i="31"/>
  <c r="W198" i="31"/>
  <c r="P198" i="31"/>
  <c r="U184" i="31" a="1"/>
  <c r="U184" i="31" s="1"/>
  <c r="V184" i="31" a="1"/>
  <c r="V184" i="31" s="1"/>
  <c r="X184" i="31" s="1"/>
  <c r="S184" i="31" a="1"/>
  <c r="S184" i="31" s="1"/>
  <c r="O184" i="31" a="1"/>
  <c r="O184" i="31" s="1"/>
  <c r="W184" i="31"/>
  <c r="P184" i="31"/>
  <c r="X171" i="31"/>
  <c r="P171" i="31"/>
  <c r="W171" i="31"/>
  <c r="Q171" i="31"/>
  <c r="Q154" i="31"/>
  <c r="X154" i="31"/>
  <c r="W154" i="31"/>
  <c r="P154" i="31"/>
  <c r="X145" i="31"/>
  <c r="P145" i="31"/>
  <c r="W145" i="31"/>
  <c r="Q145" i="31"/>
  <c r="X136" i="31"/>
  <c r="W136" i="31"/>
  <c r="Q136" i="31"/>
  <c r="P136" i="31"/>
  <c r="X121" i="31"/>
  <c r="R121" i="31" a="1"/>
  <c r="R121" i="31" s="1"/>
  <c r="Q121" i="31"/>
  <c r="P112" i="31"/>
  <c r="Q112" i="31"/>
  <c r="W112" i="31"/>
  <c r="X112" i="31"/>
  <c r="P97" i="31"/>
  <c r="W97" i="31"/>
  <c r="X88" i="31"/>
  <c r="W88" i="31"/>
  <c r="Q88" i="31"/>
  <c r="P88" i="31"/>
  <c r="W78" i="31"/>
  <c r="P78" i="31"/>
  <c r="W63" i="31"/>
  <c r="P63" i="31"/>
  <c r="X43" i="31"/>
  <c r="W43" i="31"/>
  <c r="Q43" i="31"/>
  <c r="P43" i="31"/>
  <c r="S30" i="31" a="1"/>
  <c r="S30" i="31" s="1"/>
  <c r="U30" i="31" a="1"/>
  <c r="U30" i="31" s="1"/>
  <c r="V30" i="31" a="1"/>
  <c r="V30" i="31" s="1"/>
  <c r="O30" i="31" a="1"/>
  <c r="O30" i="31" s="1"/>
  <c r="K8" i="30"/>
  <c r="K10" i="31" s="1"/>
  <c r="K11" i="31" s="1"/>
  <c r="W263" i="31"/>
  <c r="W55" i="31"/>
  <c r="W33" i="31"/>
  <c r="P263" i="31"/>
  <c r="J253" i="31"/>
  <c r="F253" i="31"/>
  <c r="F145" i="31"/>
  <c r="I249" i="31" a="1"/>
  <c r="I249" i="31" s="1"/>
  <c r="G249" i="31" a="1"/>
  <c r="G249" i="31" s="1"/>
  <c r="L249" i="31" a="1"/>
  <c r="L249" i="31" s="1"/>
  <c r="M249" i="31" a="1"/>
  <c r="M249" i="31" s="1"/>
  <c r="H249" i="31" a="1"/>
  <c r="H249" i="31" s="1"/>
  <c r="L72" i="31"/>
  <c r="L74" i="31"/>
  <c r="K13" i="31"/>
  <c r="K6" i="31"/>
  <c r="O6" i="31" s="1" a="1"/>
  <c r="O6" i="31" s="1"/>
  <c r="J30" i="31"/>
  <c r="F30" i="31"/>
  <c r="P266" i="31"/>
  <c r="D57" i="32" s="1"/>
  <c r="P257" i="31"/>
  <c r="D55" i="32" s="1"/>
  <c r="P55" i="31"/>
  <c r="P33" i="31"/>
  <c r="Q33" i="31"/>
  <c r="U5" i="31"/>
  <c r="U12" i="31"/>
  <c r="L17" i="31" a="1"/>
  <c r="L17" i="31" s="1"/>
  <c r="X17" i="31" s="1"/>
  <c r="F112" i="31"/>
  <c r="J112" i="31"/>
  <c r="H11" i="31" a="1"/>
  <c r="H11" i="31" s="1"/>
  <c r="I11" i="31" a="1"/>
  <c r="I11" i="31" s="1"/>
  <c r="F212" i="31"/>
  <c r="F198" i="31"/>
  <c r="F184" i="31"/>
  <c r="F171" i="31"/>
  <c r="F154" i="31"/>
  <c r="F136" i="31"/>
  <c r="G122" i="31" a="1"/>
  <c r="G122" i="31" s="1"/>
  <c r="H122" i="31" a="1"/>
  <c r="H122" i="31" s="1"/>
  <c r="I122" i="31" a="1"/>
  <c r="I122" i="31" s="1"/>
  <c r="J122" i="31" s="1"/>
  <c r="M122" i="31" a="1"/>
  <c r="M122" i="31" s="1"/>
  <c r="K122" i="31" s="1"/>
  <c r="O122" i="31" s="1" a="1"/>
  <c r="O122" i="31" s="1"/>
  <c r="L122" i="31" a="1"/>
  <c r="L122" i="31" s="1"/>
  <c r="F97" i="31"/>
  <c r="F88" i="31"/>
  <c r="F78" i="31"/>
  <c r="F63" i="31"/>
  <c r="F55" i="31"/>
  <c r="AB56" i="31" s="1" a="1"/>
  <c r="AB56" i="31" s="1"/>
  <c r="F43" i="31"/>
  <c r="F33" i="31"/>
  <c r="G17" i="31" a="1"/>
  <c r="G17" i="31" s="1"/>
  <c r="I17" i="31" a="1"/>
  <c r="I17" i="31" s="1"/>
  <c r="H17" i="31" a="1"/>
  <c r="H17" i="31" s="1"/>
  <c r="K42" i="31"/>
  <c r="V11" i="31" l="1" a="1"/>
  <c r="V11" i="31" s="1"/>
  <c r="V10" i="31" s="1"/>
  <c r="S11" i="31" a="1"/>
  <c r="S11" i="31" s="1"/>
  <c r="Z11" i="31" a="1"/>
  <c r="Z11" i="31" s="1"/>
  <c r="Z10" i="31" s="1"/>
  <c r="O11" i="31" a="1"/>
  <c r="O11" i="31" s="1"/>
  <c r="S13" i="31" a="1"/>
  <c r="S13" i="31" s="1"/>
  <c r="O13" i="31" a="1"/>
  <c r="O13" i="31" s="1"/>
  <c r="O12" i="31" s="1"/>
  <c r="Z13" i="31" a="1"/>
  <c r="Z13" i="31" s="1"/>
  <c r="Z12" i="31" s="1"/>
  <c r="V13" i="31" a="1"/>
  <c r="V13" i="31" s="1"/>
  <c r="V12" i="31" s="1"/>
  <c r="W249" i="31"/>
  <c r="P249" i="31"/>
  <c r="Q184" i="31"/>
  <c r="R184" i="31" a="1"/>
  <c r="R184" i="31" s="1"/>
  <c r="T121" i="31"/>
  <c r="Y121" i="31" s="1" a="1"/>
  <c r="Y121" i="31" s="1"/>
  <c r="AA121" i="31" s="1"/>
  <c r="S122" i="31" a="1"/>
  <c r="S122" i="31" s="1"/>
  <c r="R122" i="31" s="1" a="1"/>
  <c r="R122" i="31" s="1"/>
  <c r="U122" i="31" a="1"/>
  <c r="U122" i="31" s="1"/>
  <c r="V122" i="31" a="1"/>
  <c r="V122" i="31" s="1"/>
  <c r="Z122" i="31" a="1"/>
  <c r="Z122" i="31" s="1"/>
  <c r="P122" i="31"/>
  <c r="W122" i="31"/>
  <c r="P74" i="31"/>
  <c r="W74" i="31"/>
  <c r="W72" i="31"/>
  <c r="P72" i="31"/>
  <c r="K7" i="31"/>
  <c r="V6" i="31" a="1"/>
  <c r="V6" i="31" s="1"/>
  <c r="V5" i="31" s="1"/>
  <c r="Z6" i="31" a="1"/>
  <c r="Z6" i="31" s="1"/>
  <c r="Z5" i="31" s="1"/>
  <c r="G146" i="31" a="1"/>
  <c r="G146" i="31" s="1"/>
  <c r="W17" i="31"/>
  <c r="I146" i="31" a="1"/>
  <c r="I146" i="31" s="1"/>
  <c r="J146" i="31" s="1"/>
  <c r="L254" i="31" a="1"/>
  <c r="L254" i="31" s="1"/>
  <c r="M254" i="31" a="1"/>
  <c r="M254" i="31" s="1"/>
  <c r="I254" i="31" a="1"/>
  <c r="I254" i="31" s="1"/>
  <c r="G254" i="31" a="1"/>
  <c r="G254" i="31" s="1"/>
  <c r="H254" i="31" a="1"/>
  <c r="H254" i="31" s="1"/>
  <c r="L146" i="31" a="1"/>
  <c r="L146" i="31" s="1"/>
  <c r="H146" i="31" a="1"/>
  <c r="H146" i="31" s="1"/>
  <c r="S6" i="31" a="1"/>
  <c r="S6" i="31" s="1"/>
  <c r="J249" i="31"/>
  <c r="F249" i="31"/>
  <c r="Q17" i="31"/>
  <c r="P17" i="31"/>
  <c r="U10" i="31"/>
  <c r="I113" i="31" a="1"/>
  <c r="I113" i="31" s="1"/>
  <c r="F113" i="31" s="1"/>
  <c r="L56" i="31" a="1"/>
  <c r="L56" i="31" s="1"/>
  <c r="J17" i="31"/>
  <c r="G113" i="31" a="1"/>
  <c r="G113" i="31" s="1"/>
  <c r="H113" i="31" a="1"/>
  <c r="H113" i="31" s="1"/>
  <c r="L113" i="31" a="1"/>
  <c r="L113" i="31" s="1"/>
  <c r="M113" i="31" a="1"/>
  <c r="M113" i="31" s="1"/>
  <c r="K113" i="31" s="1"/>
  <c r="V113" i="31" s="1" a="1"/>
  <c r="V113" i="31" s="1"/>
  <c r="L213" i="31" a="1"/>
  <c r="L213" i="31" s="1"/>
  <c r="M213" i="31" a="1"/>
  <c r="M213" i="31" s="1"/>
  <c r="I213" i="31" a="1"/>
  <c r="I213" i="31" s="1"/>
  <c r="J213" i="31" s="1"/>
  <c r="H213" i="31" a="1"/>
  <c r="H213" i="31" s="1"/>
  <c r="G213" i="31" a="1"/>
  <c r="G213" i="31" s="1"/>
  <c r="G199" i="31" a="1"/>
  <c r="G199" i="31" s="1"/>
  <c r="M199" i="31" a="1"/>
  <c r="M199" i="31" s="1"/>
  <c r="L199" i="31" a="1"/>
  <c r="L199" i="31" s="1"/>
  <c r="H199" i="31" a="1"/>
  <c r="H199" i="31" s="1"/>
  <c r="I199" i="31" a="1"/>
  <c r="I199" i="31" s="1"/>
  <c r="J199" i="31" s="1"/>
  <c r="G185" i="31" a="1"/>
  <c r="G185" i="31" s="1"/>
  <c r="H185" i="31" a="1"/>
  <c r="H185" i="31" s="1"/>
  <c r="I185" i="31" a="1"/>
  <c r="I185" i="31" s="1"/>
  <c r="J185" i="31" s="1"/>
  <c r="M185" i="31" a="1"/>
  <c r="M185" i="31" s="1"/>
  <c r="K185" i="31" s="1"/>
  <c r="Z185" i="31" s="1" a="1"/>
  <c r="Z185" i="31" s="1"/>
  <c r="L185" i="31" a="1"/>
  <c r="L185" i="31" s="1"/>
  <c r="G172" i="31" a="1"/>
  <c r="G172" i="31" s="1"/>
  <c r="H172" i="31" a="1"/>
  <c r="H172" i="31" s="1"/>
  <c r="I172" i="31" a="1"/>
  <c r="I172" i="31" s="1"/>
  <c r="J172" i="31" s="1"/>
  <c r="L172" i="31" a="1"/>
  <c r="L172" i="31" s="1"/>
  <c r="G155" i="31" a="1"/>
  <c r="G155" i="31" s="1"/>
  <c r="H155" i="31" a="1"/>
  <c r="H155" i="31" s="1"/>
  <c r="I155" i="31" a="1"/>
  <c r="I155" i="31" s="1"/>
  <c r="J155" i="31" s="1"/>
  <c r="L155" i="31" a="1"/>
  <c r="L155" i="31" s="1"/>
  <c r="G137" i="31" a="1"/>
  <c r="G137" i="31" s="1"/>
  <c r="H137" i="31" a="1"/>
  <c r="H137" i="31" s="1"/>
  <c r="I137" i="31" a="1"/>
  <c r="I137" i="31" s="1"/>
  <c r="J137" i="31" s="1"/>
  <c r="L137" i="31" a="1"/>
  <c r="L137" i="31" s="1"/>
  <c r="F122" i="31"/>
  <c r="G98" i="31" a="1"/>
  <c r="G98" i="31" s="1"/>
  <c r="I98" i="31" a="1"/>
  <c r="I98" i="31" s="1"/>
  <c r="J98" i="31" s="1"/>
  <c r="H98" i="31" a="1"/>
  <c r="H98" i="31" s="1"/>
  <c r="L98" i="31" a="1"/>
  <c r="L98" i="31" s="1"/>
  <c r="G89" i="31" a="1"/>
  <c r="G89" i="31" s="1"/>
  <c r="H89" i="31" a="1"/>
  <c r="H89" i="31" s="1"/>
  <c r="I89" i="31" a="1"/>
  <c r="I89" i="31" s="1"/>
  <c r="J89" i="31" s="1"/>
  <c r="L89" i="31" a="1"/>
  <c r="L89" i="31" s="1"/>
  <c r="G79" i="31" a="1"/>
  <c r="G79" i="31" s="1"/>
  <c r="H79" i="31" a="1"/>
  <c r="H79" i="31" s="1"/>
  <c r="I79" i="31" a="1"/>
  <c r="I79" i="31" s="1"/>
  <c r="J79" i="31" s="1"/>
  <c r="M79" i="31" a="1"/>
  <c r="M79" i="31" s="1"/>
  <c r="L79" i="31" a="1"/>
  <c r="L79" i="31" s="1"/>
  <c r="G64" i="31" a="1"/>
  <c r="G64" i="31" s="1"/>
  <c r="H64" i="31" a="1"/>
  <c r="H64" i="31" s="1"/>
  <c r="I64" i="31" a="1"/>
  <c r="I64" i="31" s="1"/>
  <c r="J64" i="31" s="1"/>
  <c r="M64" i="31" a="1"/>
  <c r="M64" i="31" s="1"/>
  <c r="L64" i="31" a="1"/>
  <c r="L64" i="31" s="1"/>
  <c r="G56" i="31" a="1"/>
  <c r="G56" i="31" s="1"/>
  <c r="I56" i="31" a="1"/>
  <c r="I56" i="31" s="1"/>
  <c r="J56" i="31" s="1"/>
  <c r="H56" i="31" a="1"/>
  <c r="H56" i="31" s="1"/>
  <c r="L44" i="31" a="1"/>
  <c r="L44" i="31" s="1"/>
  <c r="G44" i="31" a="1"/>
  <c r="G44" i="31" s="1"/>
  <c r="H44" i="31" a="1"/>
  <c r="H44" i="31" s="1"/>
  <c r="I44" i="31" a="1"/>
  <c r="I44" i="31" s="1"/>
  <c r="J44" i="31" s="1"/>
  <c r="G34" i="31" a="1"/>
  <c r="G34" i="31" s="1"/>
  <c r="L34" i="31" a="1"/>
  <c r="L34" i="31" s="1"/>
  <c r="X34" i="31" s="1"/>
  <c r="H34" i="31" a="1"/>
  <c r="H34" i="31" s="1"/>
  <c r="I34" i="31" a="1"/>
  <c r="I34" i="31" s="1"/>
  <c r="J34" i="31" s="1"/>
  <c r="F17" i="31"/>
  <c r="O7" i="31" l="1"/>
  <c r="T7" i="31" s="1"/>
  <c r="P254" i="31"/>
  <c r="W254" i="31"/>
  <c r="T184" i="31"/>
  <c r="Y184" i="31" s="1" a="1"/>
  <c r="Y184" i="31" s="1"/>
  <c r="AA184" i="31" s="1"/>
  <c r="W213" i="31"/>
  <c r="P213" i="31"/>
  <c r="W199" i="31"/>
  <c r="P199" i="31"/>
  <c r="O185" i="31" a="1"/>
  <c r="O185" i="31" s="1"/>
  <c r="S185" i="31" a="1"/>
  <c r="S185" i="31" s="1"/>
  <c r="P185" i="31"/>
  <c r="W185" i="31"/>
  <c r="U185" i="31" a="1"/>
  <c r="U185" i="31" s="1"/>
  <c r="V185" i="31" a="1"/>
  <c r="V185" i="31" s="1"/>
  <c r="W172" i="31"/>
  <c r="Q172" i="31"/>
  <c r="X172" i="31"/>
  <c r="P172" i="31"/>
  <c r="W155" i="31"/>
  <c r="P155" i="31"/>
  <c r="X155" i="31"/>
  <c r="Q155" i="31"/>
  <c r="Q122" i="31"/>
  <c r="T122" i="31" s="1"/>
  <c r="Y122" i="31" s="1" a="1"/>
  <c r="Y122" i="31" s="1"/>
  <c r="X146" i="31"/>
  <c r="W146" i="31"/>
  <c r="Q146" i="31"/>
  <c r="P146" i="31"/>
  <c r="X122" i="31"/>
  <c r="Q137" i="31"/>
  <c r="X137" i="31"/>
  <c r="W137" i="31"/>
  <c r="P137" i="31"/>
  <c r="Q113" i="31"/>
  <c r="W113" i="31"/>
  <c r="X113" i="31"/>
  <c r="P113" i="31"/>
  <c r="O113" i="31" a="1"/>
  <c r="O113" i="31" s="1"/>
  <c r="U113" i="31" a="1"/>
  <c r="U113" i="31" s="1"/>
  <c r="S113" i="31" a="1"/>
  <c r="S113" i="31" s="1"/>
  <c r="Z113" i="31" a="1"/>
  <c r="Z113" i="31" s="1"/>
  <c r="W98" i="31"/>
  <c r="P98" i="31"/>
  <c r="P89" i="31"/>
  <c r="X89" i="31"/>
  <c r="W89" i="31"/>
  <c r="Q89" i="31"/>
  <c r="W79" i="31"/>
  <c r="P79" i="31"/>
  <c r="W64" i="31"/>
  <c r="P64" i="31"/>
  <c r="P56" i="31"/>
  <c r="Q56" i="31"/>
  <c r="W56" i="31"/>
  <c r="X56" i="31"/>
  <c r="Q44" i="31"/>
  <c r="W44" i="31"/>
  <c r="P44" i="31"/>
  <c r="X44" i="31"/>
  <c r="S5" i="31"/>
  <c r="R13" i="31" a="1"/>
  <c r="R13" i="31" s="1"/>
  <c r="T13" i="31" s="1"/>
  <c r="W34" i="31"/>
  <c r="L73" i="31"/>
  <c r="F146" i="31"/>
  <c r="S12" i="31"/>
  <c r="J254" i="31"/>
  <c r="F254" i="31"/>
  <c r="G250" i="31" a="1"/>
  <c r="G250" i="31" s="1"/>
  <c r="M250" i="31" a="1"/>
  <c r="M250" i="31" s="1"/>
  <c r="L250" i="31" a="1"/>
  <c r="L250" i="31" s="1"/>
  <c r="I250" i="31" a="1"/>
  <c r="I250" i="31" s="1"/>
  <c r="H250" i="31" a="1"/>
  <c r="H250" i="31" s="1"/>
  <c r="R6" i="31" a="1"/>
  <c r="R6" i="31" s="1"/>
  <c r="K229" i="31"/>
  <c r="Q57" i="7"/>
  <c r="P57" i="7"/>
  <c r="O10" i="31"/>
  <c r="S10" i="31"/>
  <c r="O57" i="7"/>
  <c r="M57" i="7"/>
  <c r="N57" i="7"/>
  <c r="R11" i="31" a="1"/>
  <c r="R11" i="31" s="1"/>
  <c r="Q34" i="31"/>
  <c r="P34" i="31"/>
  <c r="L18" i="31" a="1"/>
  <c r="L18" i="31" s="1"/>
  <c r="X18" i="31" s="1"/>
  <c r="J113" i="31"/>
  <c r="M114" i="31" a="1"/>
  <c r="M114" i="31" s="1"/>
  <c r="K114" i="31" s="1"/>
  <c r="O114" i="31" s="1" a="1"/>
  <c r="O114" i="31" s="1"/>
  <c r="G114" i="31" a="1"/>
  <c r="G114" i="31" s="1"/>
  <c r="I114" i="31" a="1"/>
  <c r="I114" i="31" s="1"/>
  <c r="J114" i="31" s="1"/>
  <c r="H114" i="31" a="1"/>
  <c r="H114" i="31" s="1"/>
  <c r="L114" i="31" a="1"/>
  <c r="L114" i="31" s="1"/>
  <c r="F213" i="31"/>
  <c r="F199" i="31"/>
  <c r="F185" i="31"/>
  <c r="F172" i="31"/>
  <c r="F155" i="31"/>
  <c r="F137" i="31"/>
  <c r="H123" i="31" a="1"/>
  <c r="H123" i="31" s="1"/>
  <c r="I123" i="31" a="1"/>
  <c r="I123" i="31" s="1"/>
  <c r="J123" i="31" s="1"/>
  <c r="L123" i="31" a="1"/>
  <c r="L123" i="31" s="1"/>
  <c r="G123" i="31" a="1"/>
  <c r="G123" i="31" s="1"/>
  <c r="M123" i="31" a="1"/>
  <c r="M123" i="31" s="1"/>
  <c r="K123" i="31" s="1"/>
  <c r="Z123" i="31" s="1" a="1"/>
  <c r="Z123" i="31" s="1"/>
  <c r="F98" i="31"/>
  <c r="F89" i="31"/>
  <c r="F79" i="31"/>
  <c r="F64" i="31"/>
  <c r="F56" i="31"/>
  <c r="AB57" i="31" s="1" a="1"/>
  <c r="AB57" i="31" s="1"/>
  <c r="F44" i="31"/>
  <c r="F34" i="31"/>
  <c r="I18" i="31" a="1"/>
  <c r="I18" i="31" s="1"/>
  <c r="H18" i="31" a="1"/>
  <c r="H18" i="31" s="1"/>
  <c r="G18" i="31" a="1"/>
  <c r="G18" i="31" s="1"/>
  <c r="K259" i="31"/>
  <c r="O91" i="8"/>
  <c r="K153" i="31"/>
  <c r="K261" i="31"/>
  <c r="K247" i="31"/>
  <c r="K263" i="31"/>
  <c r="K268" i="31"/>
  <c r="K270" i="31"/>
  <c r="H45" i="7"/>
  <c r="H44" i="7"/>
  <c r="L44" i="7" l="1"/>
  <c r="K44" i="7"/>
  <c r="K45" i="7"/>
  <c r="L45" i="7"/>
  <c r="O5" i="31"/>
  <c r="O259" i="31" a="1"/>
  <c r="O259" i="31" s="1"/>
  <c r="Z259" i="31" a="1"/>
  <c r="Z259" i="31" s="1"/>
  <c r="V259" i="31" a="1"/>
  <c r="V259" i="31" s="1"/>
  <c r="S259" i="31" a="1"/>
  <c r="S259" i="31" s="1"/>
  <c r="O270" i="31" a="1"/>
  <c r="O270" i="31" s="1"/>
  <c r="O269" i="31" s="1"/>
  <c r="Z270" i="31" a="1"/>
  <c r="Z270" i="31" s="1"/>
  <c r="V270" i="31" a="1"/>
  <c r="V270" i="31" s="1"/>
  <c r="S270" i="31" a="1"/>
  <c r="S270" i="31" s="1"/>
  <c r="Z268" i="31" a="1"/>
  <c r="Z268" i="31" s="1"/>
  <c r="V268" i="31" a="1"/>
  <c r="V268" i="31" s="1"/>
  <c r="S268" i="31" a="1"/>
  <c r="S268" i="31" s="1"/>
  <c r="O268" i="31" a="1"/>
  <c r="O268" i="31" s="1"/>
  <c r="O263" i="31" a="1"/>
  <c r="O263" i="31" s="1"/>
  <c r="V263" i="31" a="1"/>
  <c r="V263" i="31" s="1"/>
  <c r="S263" i="31" a="1"/>
  <c r="S263" i="31" s="1"/>
  <c r="Z263" i="31" a="1"/>
  <c r="Z263" i="31" s="1"/>
  <c r="Z261" i="31" a="1"/>
  <c r="Z261" i="31" s="1"/>
  <c r="O261" i="31" a="1"/>
  <c r="O261" i="31" s="1"/>
  <c r="V261" i="31" a="1"/>
  <c r="V261" i="31" s="1"/>
  <c r="S261" i="31" a="1"/>
  <c r="S261" i="31" s="1"/>
  <c r="W250" i="31"/>
  <c r="P250" i="31"/>
  <c r="R185" i="31" a="1"/>
  <c r="R185" i="31" s="1"/>
  <c r="AA122" i="31"/>
  <c r="Q185" i="31"/>
  <c r="X185" i="31"/>
  <c r="W123" i="31"/>
  <c r="P123" i="31"/>
  <c r="S123" i="31" a="1"/>
  <c r="S123" i="31" s="1"/>
  <c r="U123" i="31" a="1"/>
  <c r="U123" i="31" s="1"/>
  <c r="V123" i="31" a="1"/>
  <c r="V123" i="31" s="1"/>
  <c r="O123" i="31" a="1"/>
  <c r="O123" i="31" s="1"/>
  <c r="R113" i="31" a="1"/>
  <c r="R113" i="31" s="1"/>
  <c r="T113" i="31" s="1"/>
  <c r="Y113" i="31" s="1" a="1"/>
  <c r="Y113" i="31" s="1"/>
  <c r="AA113" i="31" s="1"/>
  <c r="Z114" i="31" a="1"/>
  <c r="Z114" i="31" s="1"/>
  <c r="V114" i="31" a="1"/>
  <c r="V114" i="31" s="1"/>
  <c r="U114" i="31" a="1"/>
  <c r="U114" i="31" s="1"/>
  <c r="P114" i="31"/>
  <c r="Q114" i="31"/>
  <c r="X114" i="31"/>
  <c r="W114" i="31"/>
  <c r="S114" i="31" a="1"/>
  <c r="S114" i="31" s="1"/>
  <c r="R114" i="31" s="1" a="1"/>
  <c r="R114" i="31" s="1"/>
  <c r="W73" i="31"/>
  <c r="P73" i="31"/>
  <c r="P71" i="31" s="1"/>
  <c r="Y13" i="31" a="1"/>
  <c r="Y13" i="31" s="1"/>
  <c r="Y12" i="31" s="1"/>
  <c r="K230" i="31"/>
  <c r="K231" i="31"/>
  <c r="K232" i="31"/>
  <c r="R12" i="31"/>
  <c r="I147" i="31" a="1"/>
  <c r="I147" i="31" s="1"/>
  <c r="J147" i="31" s="1"/>
  <c r="W18" i="31"/>
  <c r="S57" i="7"/>
  <c r="H147" i="31" a="1"/>
  <c r="H147" i="31" s="1"/>
  <c r="G147" i="31" a="1"/>
  <c r="G147" i="31" s="1"/>
  <c r="L147" i="31" a="1"/>
  <c r="L147" i="31" s="1"/>
  <c r="K267" i="31"/>
  <c r="L255" i="31" a="1"/>
  <c r="L255" i="31" s="1"/>
  <c r="M255" i="31" a="1"/>
  <c r="M255" i="31" s="1"/>
  <c r="G255" i="31" a="1"/>
  <c r="G255" i="31" s="1"/>
  <c r="I255" i="31" a="1"/>
  <c r="I255" i="31" s="1"/>
  <c r="H255" i="31" a="1"/>
  <c r="H255" i="31" s="1"/>
  <c r="T6" i="31"/>
  <c r="R5" i="31"/>
  <c r="J250" i="31"/>
  <c r="F250" i="31"/>
  <c r="K258" i="31"/>
  <c r="K262" i="31"/>
  <c r="K248" i="31"/>
  <c r="Q45" i="7"/>
  <c r="P45" i="7"/>
  <c r="Q44" i="7"/>
  <c r="P44" i="7"/>
  <c r="R10" i="31"/>
  <c r="O44" i="7"/>
  <c r="M44" i="7"/>
  <c r="N44" i="7"/>
  <c r="M45" i="7"/>
  <c r="N45" i="7"/>
  <c r="O45" i="7"/>
  <c r="T11" i="31"/>
  <c r="Q18" i="31"/>
  <c r="P18" i="31"/>
  <c r="Q179" i="31"/>
  <c r="Q178" i="31" s="1"/>
  <c r="E51" i="32" s="1"/>
  <c r="R179" i="31"/>
  <c r="R178" i="31" s="1"/>
  <c r="F51" i="32" s="1"/>
  <c r="L57" i="31" a="1"/>
  <c r="L57" i="31" s="1"/>
  <c r="J18" i="31"/>
  <c r="F114" i="31"/>
  <c r="K249" i="31"/>
  <c r="K250" i="31"/>
  <c r="L214" i="31" a="1"/>
  <c r="L214" i="31" s="1"/>
  <c r="I214" i="31" a="1"/>
  <c r="I214" i="31" s="1"/>
  <c r="J214" i="31" s="1"/>
  <c r="H214" i="31" a="1"/>
  <c r="H214" i="31" s="1"/>
  <c r="G214" i="31" a="1"/>
  <c r="G214" i="31" s="1"/>
  <c r="L200" i="31" a="1"/>
  <c r="L200" i="31" s="1"/>
  <c r="G200" i="31" a="1"/>
  <c r="G200" i="31" s="1"/>
  <c r="H200" i="31" a="1"/>
  <c r="H200" i="31" s="1"/>
  <c r="I200" i="31" a="1"/>
  <c r="I200" i="31" s="1"/>
  <c r="J200" i="31" s="1"/>
  <c r="G186" i="31" a="1"/>
  <c r="G186" i="31" s="1"/>
  <c r="H186" i="31" a="1"/>
  <c r="H186" i="31" s="1"/>
  <c r="I186" i="31" a="1"/>
  <c r="I186" i="31" s="1"/>
  <c r="J186" i="31" s="1"/>
  <c r="L186" i="31" a="1"/>
  <c r="L186" i="31" s="1"/>
  <c r="L173" i="31" a="1"/>
  <c r="L173" i="31" s="1"/>
  <c r="H173" i="31" a="1"/>
  <c r="H173" i="31" s="1"/>
  <c r="I173" i="31" a="1"/>
  <c r="I173" i="31" s="1"/>
  <c r="J173" i="31" s="1"/>
  <c r="G173" i="31" a="1"/>
  <c r="G173" i="31" s="1"/>
  <c r="H156" i="31" a="1"/>
  <c r="H156" i="31" s="1"/>
  <c r="I156" i="31" a="1"/>
  <c r="I156" i="31" s="1"/>
  <c r="J156" i="31" s="1"/>
  <c r="L156" i="31" a="1"/>
  <c r="L156" i="31" s="1"/>
  <c r="G156" i="31" a="1"/>
  <c r="G156" i="31" s="1"/>
  <c r="H138" i="31" a="1"/>
  <c r="H138" i="31" s="1"/>
  <c r="I138" i="31" a="1"/>
  <c r="I138" i="31" s="1"/>
  <c r="J138" i="31" s="1"/>
  <c r="L138" i="31" a="1"/>
  <c r="L138" i="31" s="1"/>
  <c r="G138" i="31" a="1"/>
  <c r="G138" i="31" s="1"/>
  <c r="F123" i="31"/>
  <c r="G99" i="31" a="1"/>
  <c r="G99" i="31" s="1"/>
  <c r="H99" i="31" a="1"/>
  <c r="H99" i="31" s="1"/>
  <c r="I99" i="31" a="1"/>
  <c r="I99" i="31" s="1"/>
  <c r="J99" i="31" s="1"/>
  <c r="L99" i="31" a="1"/>
  <c r="L99" i="31" s="1"/>
  <c r="G90" i="31" a="1"/>
  <c r="G90" i="31" s="1"/>
  <c r="I90" i="31" a="1"/>
  <c r="I90" i="31" s="1"/>
  <c r="J90" i="31" s="1"/>
  <c r="H90" i="31" a="1"/>
  <c r="H90" i="31" s="1"/>
  <c r="L90" i="31" a="1"/>
  <c r="L90" i="31" s="1"/>
  <c r="I80" i="31" a="1"/>
  <c r="I80" i="31" s="1"/>
  <c r="J80" i="31" s="1"/>
  <c r="M80" i="31" a="1"/>
  <c r="M80" i="31" s="1"/>
  <c r="L80" i="31" a="1"/>
  <c r="L80" i="31" s="1"/>
  <c r="G80" i="31" a="1"/>
  <c r="G80" i="31" s="1"/>
  <c r="H80" i="31" a="1"/>
  <c r="H80" i="31" s="1"/>
  <c r="G65" i="31" a="1"/>
  <c r="G65" i="31" s="1"/>
  <c r="H65" i="31" a="1"/>
  <c r="H65" i="31" s="1"/>
  <c r="I65" i="31" a="1"/>
  <c r="I65" i="31" s="1"/>
  <c r="J65" i="31" s="1"/>
  <c r="M65" i="31" a="1"/>
  <c r="M65" i="31" s="1"/>
  <c r="L65" i="31" a="1"/>
  <c r="L65" i="31" s="1"/>
  <c r="I57" i="31" a="1"/>
  <c r="I57" i="31" s="1"/>
  <c r="G57" i="31" a="1"/>
  <c r="G57" i="31" s="1"/>
  <c r="H57" i="31" a="1"/>
  <c r="H57" i="31" s="1"/>
  <c r="I45" i="31" a="1"/>
  <c r="I45" i="31" s="1"/>
  <c r="J45" i="31" s="1"/>
  <c r="L45" i="31" a="1"/>
  <c r="L45" i="31" s="1"/>
  <c r="G45" i="31" a="1"/>
  <c r="G45" i="31" s="1"/>
  <c r="H45" i="31" a="1"/>
  <c r="H45" i="31" s="1"/>
  <c r="I35" i="31" a="1"/>
  <c r="I35" i="31" s="1"/>
  <c r="J35" i="31" s="1"/>
  <c r="L35" i="31" a="1"/>
  <c r="L35" i="31" s="1"/>
  <c r="X35" i="31" s="1"/>
  <c r="G35" i="31" a="1"/>
  <c r="G35" i="31" s="1"/>
  <c r="H35" i="31" a="1"/>
  <c r="H35" i="31" s="1"/>
  <c r="F18" i="31"/>
  <c r="B35" i="38"/>
  <c r="E35" i="38" s="1"/>
  <c r="K87" i="31"/>
  <c r="L49" i="30"/>
  <c r="K49" i="30" s="1"/>
  <c r="O95" i="8"/>
  <c r="L23" i="30"/>
  <c r="K23" i="30" s="1"/>
  <c r="K144" i="31"/>
  <c r="K49" i="7" l="1"/>
  <c r="L49" i="7"/>
  <c r="AA13" i="31"/>
  <c r="AA12" i="31" s="1"/>
  <c r="V267" i="31" a="1"/>
  <c r="V267" i="31" s="1"/>
  <c r="S267" i="31" a="1"/>
  <c r="S267" i="31" s="1"/>
  <c r="Z267" i="31" a="1"/>
  <c r="Z267" i="31" s="1"/>
  <c r="Z266" i="31" s="1"/>
  <c r="O267" i="31" a="1"/>
  <c r="O267" i="31" s="1"/>
  <c r="O266" i="31" s="1"/>
  <c r="O262" i="31" a="1"/>
  <c r="O262" i="31" s="1"/>
  <c r="O260" i="31" s="1"/>
  <c r="Z262" i="31" a="1"/>
  <c r="Z262" i="31" s="1"/>
  <c r="Z260" i="31" s="1"/>
  <c r="V262" i="31" a="1"/>
  <c r="V262" i="31" s="1"/>
  <c r="S262" i="31" a="1"/>
  <c r="S262" i="31" s="1"/>
  <c r="Z258" i="31" a="1"/>
  <c r="Z258" i="31" s="1"/>
  <c r="Z257" i="31" s="1"/>
  <c r="S258" i="31" a="1"/>
  <c r="S258" i="31" s="1"/>
  <c r="O258" i="31" a="1"/>
  <c r="O258" i="31" s="1"/>
  <c r="V258" i="31" a="1"/>
  <c r="V258" i="31" s="1"/>
  <c r="T185" i="31"/>
  <c r="Y185" i="31" s="1" a="1"/>
  <c r="Y185" i="31" s="1"/>
  <c r="AA185" i="31" s="1"/>
  <c r="W255" i="31"/>
  <c r="P255" i="31"/>
  <c r="S250" i="31" a="1"/>
  <c r="S250" i="31" s="1"/>
  <c r="V250" i="31" a="1"/>
  <c r="V250" i="31" s="1"/>
  <c r="Z250" i="31" a="1"/>
  <c r="Z250" i="31" s="1"/>
  <c r="U250" i="31" a="1"/>
  <c r="U250" i="31" s="1"/>
  <c r="O250" i="31" a="1"/>
  <c r="O250" i="31" s="1"/>
  <c r="Z249" i="31" a="1"/>
  <c r="Z249" i="31" s="1"/>
  <c r="V249" i="31" a="1"/>
  <c r="V249" i="31" s="1"/>
  <c r="U249" i="31" a="1"/>
  <c r="U249" i="31" s="1"/>
  <c r="O249" i="31" a="1"/>
  <c r="O249" i="31" s="1"/>
  <c r="S249" i="31" a="1"/>
  <c r="S249" i="31" s="1"/>
  <c r="Z248" i="31" a="1"/>
  <c r="Z248" i="31" s="1"/>
  <c r="V248" i="31" a="1"/>
  <c r="V248" i="31" s="1"/>
  <c r="U248" i="31" a="1"/>
  <c r="U248" i="31" s="1"/>
  <c r="S248" i="31" a="1"/>
  <c r="S248" i="31" s="1"/>
  <c r="O248" i="31" a="1"/>
  <c r="O248" i="31" s="1"/>
  <c r="Z230" i="31" a="1"/>
  <c r="Z230" i="31" s="1"/>
  <c r="O230" i="31" a="1"/>
  <c r="O230" i="31" s="1"/>
  <c r="V230" i="31" a="1"/>
  <c r="V230" i="31" s="1"/>
  <c r="U230" i="31" a="1"/>
  <c r="U230" i="31" s="1"/>
  <c r="S230" i="31" a="1"/>
  <c r="S230" i="31" s="1"/>
  <c r="Z231" i="31" a="1"/>
  <c r="Z231" i="31" s="1"/>
  <c r="V231" i="31" a="1"/>
  <c r="V231" i="31" s="1"/>
  <c r="U231" i="31" a="1"/>
  <c r="U231" i="31" s="1"/>
  <c r="S231" i="31" a="1"/>
  <c r="S231" i="31" s="1"/>
  <c r="O231" i="31" a="1"/>
  <c r="O231" i="31" s="1"/>
  <c r="Z232" i="31" a="1"/>
  <c r="Z232" i="31" s="1"/>
  <c r="V232" i="31" a="1"/>
  <c r="V232" i="31" s="1"/>
  <c r="U232" i="31" a="1"/>
  <c r="U232" i="31" s="1"/>
  <c r="O232" i="31" a="1"/>
  <c r="O232" i="31" s="1"/>
  <c r="S232" i="31" a="1"/>
  <c r="S232" i="31" s="1"/>
  <c r="W214" i="31"/>
  <c r="P214" i="31"/>
  <c r="W200" i="31"/>
  <c r="P200" i="31"/>
  <c r="P186" i="31"/>
  <c r="W186" i="31"/>
  <c r="X173" i="31"/>
  <c r="W173" i="31"/>
  <c r="Q173" i="31"/>
  <c r="P173" i="31"/>
  <c r="X156" i="31"/>
  <c r="Q156" i="31"/>
  <c r="W156" i="31"/>
  <c r="P156" i="31"/>
  <c r="X147" i="31"/>
  <c r="Q147" i="31"/>
  <c r="P147" i="31"/>
  <c r="W147" i="31"/>
  <c r="X138" i="31"/>
  <c r="W138" i="31"/>
  <c r="P138" i="31"/>
  <c r="Q138" i="31"/>
  <c r="Q123" i="31"/>
  <c r="R123" i="31" a="1"/>
  <c r="R123" i="31" s="1"/>
  <c r="X123" i="31"/>
  <c r="T114" i="31"/>
  <c r="Y114" i="31" s="1" a="1"/>
  <c r="Y114" i="31" s="1"/>
  <c r="AA114" i="31" s="1"/>
  <c r="W99" i="31"/>
  <c r="P99" i="31"/>
  <c r="X90" i="31"/>
  <c r="W90" i="31"/>
  <c r="Q90" i="31"/>
  <c r="P90" i="31"/>
  <c r="P80" i="31"/>
  <c r="W80" i="31"/>
  <c r="W65" i="31"/>
  <c r="P65" i="31"/>
  <c r="P57" i="31"/>
  <c r="Q57" i="31"/>
  <c r="W57" i="31"/>
  <c r="X57" i="31"/>
  <c r="P45" i="31"/>
  <c r="Q45" i="31"/>
  <c r="W45" i="31"/>
  <c r="X45" i="31"/>
  <c r="Y11" i="31" a="1"/>
  <c r="Y11" i="31" s="1"/>
  <c r="Y10" i="31" s="1"/>
  <c r="O257" i="31"/>
  <c r="C55" i="32" s="1"/>
  <c r="X259" i="31"/>
  <c r="W261" i="31"/>
  <c r="W260" i="31" s="1"/>
  <c r="X263" i="31"/>
  <c r="V269" i="31"/>
  <c r="X270" i="31"/>
  <c r="X269" i="31" s="1"/>
  <c r="X268" i="31"/>
  <c r="Z269" i="31"/>
  <c r="T5" i="31"/>
  <c r="N6" i="30" s="1"/>
  <c r="O6" i="30" s="1"/>
  <c r="Y6" i="31" a="1"/>
  <c r="Y6" i="31" s="1"/>
  <c r="F147" i="31"/>
  <c r="W35" i="31"/>
  <c r="W71" i="31"/>
  <c r="Q263" i="31"/>
  <c r="R263" i="31" a="1"/>
  <c r="R263" i="31" s="1"/>
  <c r="K211" i="31"/>
  <c r="K213" i="31" s="1"/>
  <c r="L50" i="30"/>
  <c r="K234" i="31"/>
  <c r="K235" i="31" s="1"/>
  <c r="J255" i="31"/>
  <c r="F255" i="31"/>
  <c r="G251" i="31" a="1"/>
  <c r="G251" i="31" s="1"/>
  <c r="M251" i="31" a="1"/>
  <c r="M251" i="31" s="1"/>
  <c r="K251" i="31" s="1"/>
  <c r="S251" i="31" s="1" a="1"/>
  <c r="S251" i="31" s="1"/>
  <c r="I251" i="31" a="1"/>
  <c r="I251" i="31" s="1"/>
  <c r="L251" i="31" a="1"/>
  <c r="L251" i="31" s="1"/>
  <c r="H251" i="31" a="1"/>
  <c r="H251" i="31" s="1"/>
  <c r="P49" i="7"/>
  <c r="Q49" i="7"/>
  <c r="Q270" i="31"/>
  <c r="Q269" i="31" s="1"/>
  <c r="R259" i="31" a="1"/>
  <c r="R259" i="31" s="1"/>
  <c r="Q259" i="31"/>
  <c r="S269" i="31"/>
  <c r="G58" i="32" s="1"/>
  <c r="R268" i="31" a="1"/>
  <c r="R268" i="31" s="1"/>
  <c r="P261" i="31"/>
  <c r="Q268" i="31"/>
  <c r="R270" i="31" a="1"/>
  <c r="R270" i="31" s="1"/>
  <c r="N49" i="7"/>
  <c r="M49" i="7"/>
  <c r="O49" i="7"/>
  <c r="Q35" i="31"/>
  <c r="P35" i="31"/>
  <c r="Q81" i="31"/>
  <c r="R162" i="31"/>
  <c r="R161" i="31" s="1"/>
  <c r="F49" i="32" s="1"/>
  <c r="R81" i="31"/>
  <c r="H115" i="31" a="1"/>
  <c r="H115" i="31" s="1"/>
  <c r="J57" i="31"/>
  <c r="L19" i="31" a="1"/>
  <c r="L19" i="31" s="1"/>
  <c r="X19" i="31" s="1"/>
  <c r="M19" i="31" a="1"/>
  <c r="M19" i="31" s="1"/>
  <c r="L115" i="31" a="1"/>
  <c r="L115" i="31" s="1"/>
  <c r="M115" i="31" a="1"/>
  <c r="M115" i="31" s="1"/>
  <c r="K115" i="31" s="1"/>
  <c r="V115" i="31" s="1" a="1"/>
  <c r="V115" i="31" s="1"/>
  <c r="I115" i="31" a="1"/>
  <c r="I115" i="31" s="1"/>
  <c r="J115" i="31" s="1"/>
  <c r="G115" i="31" a="1"/>
  <c r="G115" i="31" s="1"/>
  <c r="F214" i="31"/>
  <c r="F200" i="31"/>
  <c r="F186" i="31"/>
  <c r="F173" i="31"/>
  <c r="F156" i="31"/>
  <c r="F138" i="31"/>
  <c r="H124" i="31" a="1"/>
  <c r="H124" i="31" s="1"/>
  <c r="I124" i="31" a="1"/>
  <c r="I124" i="31" s="1"/>
  <c r="J124" i="31" s="1"/>
  <c r="M124" i="31" a="1"/>
  <c r="M124" i="31" s="1"/>
  <c r="K124" i="31" s="1"/>
  <c r="U124" i="31" s="1" a="1"/>
  <c r="U124" i="31" s="1"/>
  <c r="G124" i="31" a="1"/>
  <c r="G124" i="31" s="1"/>
  <c r="L124" i="31" a="1"/>
  <c r="L124" i="31" s="1"/>
  <c r="F99" i="31"/>
  <c r="F90" i="31"/>
  <c r="F80" i="31"/>
  <c r="F65" i="31"/>
  <c r="F57" i="31"/>
  <c r="AB58" i="31" s="1" a="1"/>
  <c r="AB58" i="31" s="1"/>
  <c r="F45" i="31"/>
  <c r="F35" i="31"/>
  <c r="G19" i="31" a="1"/>
  <c r="G19" i="31" s="1"/>
  <c r="I19" i="31" a="1"/>
  <c r="I19" i="31" s="1"/>
  <c r="H19" i="31" a="1"/>
  <c r="H19" i="31" s="1"/>
  <c r="B37" i="38"/>
  <c r="E37" i="38" s="1"/>
  <c r="K76" i="31"/>
  <c r="K96" i="31"/>
  <c r="B34" i="38"/>
  <c r="C34" i="38" s="1"/>
  <c r="C35" i="38"/>
  <c r="L47" i="30"/>
  <c r="L20" i="30"/>
  <c r="K20" i="30" s="1"/>
  <c r="X249" i="31" l="1"/>
  <c r="O251" i="31" a="1"/>
  <c r="O251" i="31" s="1"/>
  <c r="O247" i="31" s="1"/>
  <c r="R250" i="31" a="1"/>
  <c r="R250" i="31" s="1"/>
  <c r="Q250" i="31"/>
  <c r="U251" i="31" a="1"/>
  <c r="U251" i="31" s="1"/>
  <c r="U247" i="31" s="1"/>
  <c r="V251" i="31" a="1"/>
  <c r="V251" i="31" s="1"/>
  <c r="Z251" i="31" a="1"/>
  <c r="Z251" i="31" s="1"/>
  <c r="Q249" i="31"/>
  <c r="R249" i="31" a="1"/>
  <c r="R249" i="31" s="1"/>
  <c r="W251" i="31"/>
  <c r="P251" i="31"/>
  <c r="X250" i="31"/>
  <c r="R248" i="31" a="1"/>
  <c r="R248" i="31" s="1"/>
  <c r="Q248" i="31"/>
  <c r="X248" i="31"/>
  <c r="Z235" i="31" a="1"/>
  <c r="Z235" i="31" s="1"/>
  <c r="U235" i="31" a="1"/>
  <c r="U235" i="31" s="1"/>
  <c r="O235" i="31" a="1"/>
  <c r="O235" i="31" s="1"/>
  <c r="V235" i="31" a="1"/>
  <c r="V235" i="31" s="1"/>
  <c r="S235" i="31" a="1"/>
  <c r="S235" i="31" s="1"/>
  <c r="X231" i="31"/>
  <c r="Q232" i="31"/>
  <c r="R232" i="31" a="1"/>
  <c r="R232" i="31" s="1"/>
  <c r="X232" i="31"/>
  <c r="R231" i="31" a="1"/>
  <c r="R231" i="31" s="1"/>
  <c r="Q231" i="31"/>
  <c r="R230" i="31" a="1"/>
  <c r="R230" i="31" s="1"/>
  <c r="Q230" i="31"/>
  <c r="X230" i="31"/>
  <c r="Z213" i="31" a="1"/>
  <c r="Z213" i="31" s="1"/>
  <c r="U213" i="31" a="1"/>
  <c r="U213" i="31" s="1"/>
  <c r="O213" i="31" a="1"/>
  <c r="O213" i="31" s="1"/>
  <c r="V213" i="31" a="1"/>
  <c r="V213" i="31" s="1"/>
  <c r="S213" i="31" a="1"/>
  <c r="S213" i="31" s="1"/>
  <c r="S124" i="31" a="1"/>
  <c r="S124" i="31" s="1"/>
  <c r="T123" i="31"/>
  <c r="Y123" i="31" s="1" a="1"/>
  <c r="Y123" i="31" s="1"/>
  <c r="AA123" i="31" s="1"/>
  <c r="V124" i="31" a="1"/>
  <c r="V124" i="31" s="1"/>
  <c r="Z124" i="31" a="1"/>
  <c r="Z124" i="31" s="1"/>
  <c r="O124" i="31" a="1"/>
  <c r="O124" i="31" s="1"/>
  <c r="X124" i="31"/>
  <c r="W124" i="31"/>
  <c r="Q124" i="31"/>
  <c r="P124" i="31"/>
  <c r="U115" i="31" a="1"/>
  <c r="U115" i="31" s="1"/>
  <c r="P115" i="31"/>
  <c r="Q115" i="31"/>
  <c r="W115" i="31"/>
  <c r="X115" i="31"/>
  <c r="S115" i="31" a="1"/>
  <c r="S115" i="31" s="1"/>
  <c r="O115" i="31" a="1"/>
  <c r="O115" i="31" s="1"/>
  <c r="Z115" i="31" a="1"/>
  <c r="Z115" i="31" s="1"/>
  <c r="AA11" i="31"/>
  <c r="AA10" i="31" s="1"/>
  <c r="S266" i="31"/>
  <c r="G57" i="32" s="1"/>
  <c r="Y179" i="31"/>
  <c r="Y178" i="31" s="1"/>
  <c r="AA179" i="31"/>
  <c r="AA178" i="31" s="1"/>
  <c r="K50" i="30"/>
  <c r="K220" i="31" s="1"/>
  <c r="L51" i="30"/>
  <c r="K47" i="30"/>
  <c r="K197" i="31" s="1"/>
  <c r="K199" i="31" s="1"/>
  <c r="X262" i="31"/>
  <c r="X260" i="31" s="1"/>
  <c r="V266" i="31"/>
  <c r="X267" i="31"/>
  <c r="X266" i="31" s="1"/>
  <c r="Q262" i="31"/>
  <c r="Q260" i="31" s="1"/>
  <c r="V260" i="31"/>
  <c r="V257" i="31"/>
  <c r="X258" i="31"/>
  <c r="X257" i="31" s="1"/>
  <c r="Y5" i="31"/>
  <c r="AA6" i="31"/>
  <c r="AA5" i="31" s="1"/>
  <c r="V229" i="31"/>
  <c r="Z229" i="31"/>
  <c r="I148" i="31" a="1"/>
  <c r="I148" i="31" s="1"/>
  <c r="J148" i="31" s="1"/>
  <c r="G148" i="31" a="1"/>
  <c r="G148" i="31" s="1"/>
  <c r="L148" i="31" a="1"/>
  <c r="L148" i="31" s="1"/>
  <c r="M148" i="31" a="1"/>
  <c r="M148" i="31" s="1"/>
  <c r="K148" i="31" s="1"/>
  <c r="H148" i="31" a="1"/>
  <c r="H148" i="31" s="1"/>
  <c r="W19" i="31"/>
  <c r="W76" i="31"/>
  <c r="W75" i="31" s="1"/>
  <c r="R267" i="31" a="1"/>
  <c r="R267" i="31" s="1"/>
  <c r="R266" i="31" s="1"/>
  <c r="S49" i="7"/>
  <c r="Q267" i="31"/>
  <c r="Q266" i="31" s="1"/>
  <c r="T263" i="31"/>
  <c r="K239" i="31"/>
  <c r="S229" i="31"/>
  <c r="O229" i="31"/>
  <c r="U229" i="31"/>
  <c r="K238" i="31"/>
  <c r="K237" i="31"/>
  <c r="K236" i="31"/>
  <c r="L256" i="31" a="1"/>
  <c r="L256" i="31" s="1"/>
  <c r="G256" i="31" a="1"/>
  <c r="G256" i="31" s="1"/>
  <c r="M256" i="31" a="1"/>
  <c r="M256" i="31" s="1"/>
  <c r="I256" i="31" a="1"/>
  <c r="I256" i="31" s="1"/>
  <c r="H256" i="31" a="1"/>
  <c r="H256" i="31" s="1"/>
  <c r="L58" i="30"/>
  <c r="L48" i="30"/>
  <c r="J251" i="31"/>
  <c r="F251" i="31"/>
  <c r="K62" i="31"/>
  <c r="K65" i="31" s="1"/>
  <c r="L21" i="30"/>
  <c r="S260" i="31"/>
  <c r="G56" i="32" s="1"/>
  <c r="R262" i="31" a="1"/>
  <c r="R262" i="31" s="1"/>
  <c r="S257" i="31"/>
  <c r="G55" i="32" s="1"/>
  <c r="R258" i="31" a="1"/>
  <c r="R258" i="31" s="1"/>
  <c r="R257" i="31" s="1"/>
  <c r="Q258" i="31"/>
  <c r="Q257" i="31" s="1"/>
  <c r="K107" i="31"/>
  <c r="K108" i="31"/>
  <c r="T259" i="31"/>
  <c r="R269" i="31"/>
  <c r="R261" i="31" a="1"/>
  <c r="R261" i="31" s="1"/>
  <c r="P260" i="31"/>
  <c r="P76" i="31"/>
  <c r="P75" i="31" s="1"/>
  <c r="D44" i="32" s="1"/>
  <c r="Q19" i="31"/>
  <c r="P19" i="31"/>
  <c r="L58" i="31" a="1"/>
  <c r="L58" i="31" s="1"/>
  <c r="J19" i="31"/>
  <c r="K77" i="31"/>
  <c r="K79" i="31"/>
  <c r="F115" i="31"/>
  <c r="K54" i="31"/>
  <c r="K212" i="31"/>
  <c r="K78" i="31"/>
  <c r="K80" i="31"/>
  <c r="L215" i="31" a="1"/>
  <c r="L215" i="31" s="1"/>
  <c r="M215" i="31" a="1"/>
  <c r="M215" i="31" s="1"/>
  <c r="K215" i="31" s="1"/>
  <c r="Z215" i="31" s="1" a="1"/>
  <c r="Z215" i="31" s="1"/>
  <c r="I215" i="31" a="1"/>
  <c r="I215" i="31" s="1"/>
  <c r="J215" i="31" s="1"/>
  <c r="H215" i="31" a="1"/>
  <c r="H215" i="31" s="1"/>
  <c r="G215" i="31" a="1"/>
  <c r="G215" i="31" s="1"/>
  <c r="M201" i="31" a="1"/>
  <c r="M201" i="31" s="1"/>
  <c r="L201" i="31" a="1"/>
  <c r="L201" i="31" s="1"/>
  <c r="G201" i="31" a="1"/>
  <c r="G201" i="31" s="1"/>
  <c r="H201" i="31" a="1"/>
  <c r="H201" i="31" s="1"/>
  <c r="I201" i="31" a="1"/>
  <c r="I201" i="31" s="1"/>
  <c r="J201" i="31" s="1"/>
  <c r="H187" i="31" a="1"/>
  <c r="H187" i="31" s="1"/>
  <c r="I187" i="31" a="1"/>
  <c r="I187" i="31" s="1"/>
  <c r="J187" i="31" s="1"/>
  <c r="M187" i="31" a="1"/>
  <c r="M187" i="31" s="1"/>
  <c r="K187" i="31" s="1"/>
  <c r="O187" i="31" s="1" a="1"/>
  <c r="O187" i="31" s="1"/>
  <c r="L187" i="31" a="1"/>
  <c r="L187" i="31" s="1"/>
  <c r="G187" i="31" a="1"/>
  <c r="G187" i="31" s="1"/>
  <c r="H174" i="31" a="1"/>
  <c r="H174" i="31" s="1"/>
  <c r="I174" i="31" a="1"/>
  <c r="I174" i="31" s="1"/>
  <c r="J174" i="31" s="1"/>
  <c r="G174" i="31" a="1"/>
  <c r="G174" i="31" s="1"/>
  <c r="L174" i="31" a="1"/>
  <c r="L174" i="31" s="1"/>
  <c r="H157" i="31" a="1"/>
  <c r="H157" i="31" s="1"/>
  <c r="I157" i="31" a="1"/>
  <c r="I157" i="31" s="1"/>
  <c r="J157" i="31" s="1"/>
  <c r="M157" i="31" a="1"/>
  <c r="M157" i="31" s="1"/>
  <c r="K157" i="31" s="1"/>
  <c r="L157" i="31" a="1"/>
  <c r="L157" i="31" s="1"/>
  <c r="G157" i="31" a="1"/>
  <c r="G157" i="31" s="1"/>
  <c r="H139" i="31" a="1"/>
  <c r="H139" i="31" s="1"/>
  <c r="I139" i="31" a="1"/>
  <c r="I139" i="31" s="1"/>
  <c r="J139" i="31" s="1"/>
  <c r="L139" i="31" a="1"/>
  <c r="L139" i="31" s="1"/>
  <c r="G139" i="31" a="1"/>
  <c r="G139" i="31" s="1"/>
  <c r="M139" i="31" a="1"/>
  <c r="M139" i="31" s="1"/>
  <c r="K139" i="31" s="1"/>
  <c r="F124" i="31"/>
  <c r="H100" i="31" a="1"/>
  <c r="H100" i="31" s="1"/>
  <c r="I100" i="31" a="1"/>
  <c r="I100" i="31" s="1"/>
  <c r="J100" i="31" s="1"/>
  <c r="L100" i="31" a="1"/>
  <c r="L100" i="31" s="1"/>
  <c r="G100" i="31" a="1"/>
  <c r="G100" i="31" s="1"/>
  <c r="H91" i="31" a="1"/>
  <c r="H91" i="31" s="1"/>
  <c r="I91" i="31" a="1"/>
  <c r="I91" i="31" s="1"/>
  <c r="J91" i="31" s="1"/>
  <c r="L91" i="31" a="1"/>
  <c r="L91" i="31" s="1"/>
  <c r="G91" i="31" a="1"/>
  <c r="G91" i="31" s="1"/>
  <c r="M91" i="31" a="1"/>
  <c r="M91" i="31" s="1"/>
  <c r="K91" i="31" s="1"/>
  <c r="Z91" i="31" s="1" a="1"/>
  <c r="Z91" i="31" s="1"/>
  <c r="H66" i="31" a="1"/>
  <c r="H66" i="31" s="1"/>
  <c r="I66" i="31" a="1"/>
  <c r="I66" i="31" s="1"/>
  <c r="J66" i="31" s="1"/>
  <c r="L66" i="31" a="1"/>
  <c r="L66" i="31" s="1"/>
  <c r="M66" i="31" a="1"/>
  <c r="M66" i="31" s="1"/>
  <c r="G66" i="31" a="1"/>
  <c r="G66" i="31" s="1"/>
  <c r="H58" i="31" a="1"/>
  <c r="H58" i="31" s="1"/>
  <c r="I58" i="31" a="1"/>
  <c r="I58" i="31" s="1"/>
  <c r="M58" i="31" a="1"/>
  <c r="M58" i="31" s="1"/>
  <c r="G58" i="31" a="1"/>
  <c r="G58" i="31" s="1"/>
  <c r="H46" i="31" a="1"/>
  <c r="H46" i="31" s="1"/>
  <c r="I46" i="31" a="1"/>
  <c r="I46" i="31" s="1"/>
  <c r="J46" i="31" s="1"/>
  <c r="M46" i="31" a="1"/>
  <c r="M46" i="31" s="1"/>
  <c r="K46" i="31" s="1"/>
  <c r="O46" i="31" s="1" a="1"/>
  <c r="O46" i="31" s="1"/>
  <c r="G46" i="31" a="1"/>
  <c r="G46" i="31" s="1"/>
  <c r="L46" i="31" a="1"/>
  <c r="L46" i="31" s="1"/>
  <c r="H36" i="31" a="1"/>
  <c r="H36" i="31" s="1"/>
  <c r="I36" i="31" a="1"/>
  <c r="I36" i="31" s="1"/>
  <c r="J36" i="31" s="1"/>
  <c r="M36" i="31" a="1"/>
  <c r="M36" i="31" s="1"/>
  <c r="K36" i="31" s="1"/>
  <c r="Z36" i="31" s="1" a="1"/>
  <c r="Z36" i="31" s="1"/>
  <c r="L36" i="31" a="1"/>
  <c r="L36" i="31" s="1"/>
  <c r="X36" i="31" s="1"/>
  <c r="G36" i="31" a="1"/>
  <c r="G36" i="31" s="1"/>
  <c r="F19" i="31"/>
  <c r="C37" i="38"/>
  <c r="E34" i="38"/>
  <c r="Q251" i="31" l="1"/>
  <c r="R251" i="31" a="1"/>
  <c r="R251" i="31" s="1"/>
  <c r="R247" i="31" s="1"/>
  <c r="X251" i="31"/>
  <c r="X247" i="31" s="1"/>
  <c r="T230" i="31"/>
  <c r="Y230" i="31" s="1" a="1"/>
  <c r="Y230" i="31" s="1"/>
  <c r="AA230" i="31" s="1"/>
  <c r="V247" i="31"/>
  <c r="P256" i="31"/>
  <c r="W256" i="31"/>
  <c r="T250" i="31"/>
  <c r="Y250" i="31" s="1" a="1"/>
  <c r="Y250" i="31" s="1"/>
  <c r="AA250" i="31" s="1"/>
  <c r="T249" i="31"/>
  <c r="Y249" i="31" s="1" a="1"/>
  <c r="Y249" i="31" s="1"/>
  <c r="AA249" i="31" s="1"/>
  <c r="T248" i="31"/>
  <c r="Y248" i="31" s="1" a="1"/>
  <c r="Y248" i="31" s="1"/>
  <c r="AA248" i="31" s="1"/>
  <c r="T231" i="31"/>
  <c r="Y231" i="31" s="1" a="1"/>
  <c r="Y231" i="31" s="1"/>
  <c r="AA231" i="31" s="1"/>
  <c r="V237" i="31" a="1"/>
  <c r="V237" i="31" s="1"/>
  <c r="U237" i="31" a="1"/>
  <c r="U237" i="31" s="1"/>
  <c r="S237" i="31" a="1"/>
  <c r="S237" i="31" s="1"/>
  <c r="O237" i="31" a="1"/>
  <c r="O237" i="31" s="1"/>
  <c r="Z237" i="31" a="1"/>
  <c r="Z237" i="31" s="1"/>
  <c r="V238" i="31" a="1"/>
  <c r="V238" i="31" s="1"/>
  <c r="U238" i="31" a="1"/>
  <c r="U238" i="31" s="1"/>
  <c r="Z238" i="31" a="1"/>
  <c r="Z238" i="31" s="1"/>
  <c r="O238" i="31" a="1"/>
  <c r="O238" i="31" s="1"/>
  <c r="S238" i="31" a="1"/>
  <c r="S238" i="31" s="1"/>
  <c r="S239" i="31" a="1"/>
  <c r="S239" i="31" s="1"/>
  <c r="O239" i="31" a="1"/>
  <c r="O239" i="31" s="1"/>
  <c r="Z239" i="31" a="1"/>
  <c r="Z239" i="31" s="1"/>
  <c r="V239" i="31" a="1"/>
  <c r="V239" i="31" s="1"/>
  <c r="U239" i="31" a="1"/>
  <c r="U239" i="31" s="1"/>
  <c r="T232" i="31"/>
  <c r="Y232" i="31" s="1" a="1"/>
  <c r="Y232" i="31" s="1"/>
  <c r="AA232" i="31" s="1"/>
  <c r="X235" i="31"/>
  <c r="Z236" i="31" a="1"/>
  <c r="Z236" i="31" s="1"/>
  <c r="O236" i="31" a="1"/>
  <c r="O236" i="31" s="1"/>
  <c r="U236" i="31" a="1"/>
  <c r="U236" i="31" s="1"/>
  <c r="V236" i="31" a="1"/>
  <c r="V236" i="31" s="1"/>
  <c r="S236" i="31" a="1"/>
  <c r="S236" i="31" s="1"/>
  <c r="R235" i="31" a="1"/>
  <c r="R235" i="31" s="1"/>
  <c r="Q235" i="31"/>
  <c r="O215" i="31" a="1"/>
  <c r="O215" i="31" s="1"/>
  <c r="S215" i="31" a="1"/>
  <c r="S215" i="31" s="1"/>
  <c r="U215" i="31" a="1"/>
  <c r="U215" i="31" s="1"/>
  <c r="V215" i="31" a="1"/>
  <c r="V215" i="31" s="1"/>
  <c r="X215" i="31" s="1"/>
  <c r="Z212" i="31" a="1"/>
  <c r="Z212" i="31" s="1"/>
  <c r="U212" i="31" a="1"/>
  <c r="U212" i="31" s="1"/>
  <c r="S212" i="31" a="1"/>
  <c r="S212" i="31" s="1"/>
  <c r="O212" i="31" a="1"/>
  <c r="O212" i="31" s="1"/>
  <c r="V212" i="31" a="1"/>
  <c r="V212" i="31" s="1"/>
  <c r="X213" i="31"/>
  <c r="P215" i="31"/>
  <c r="W215" i="31"/>
  <c r="Q213" i="31"/>
  <c r="R213" i="31" a="1"/>
  <c r="R213" i="31" s="1"/>
  <c r="V199" i="31" a="1"/>
  <c r="V199" i="31" s="1"/>
  <c r="S199" i="31" a="1"/>
  <c r="S199" i="31" s="1"/>
  <c r="Z199" i="31" a="1"/>
  <c r="Z199" i="31" s="1"/>
  <c r="U199" i="31" a="1"/>
  <c r="U199" i="31" s="1"/>
  <c r="O199" i="31" a="1"/>
  <c r="O199" i="31" s="1"/>
  <c r="W201" i="31"/>
  <c r="P201" i="31"/>
  <c r="U187" i="31" a="1"/>
  <c r="U187" i="31" s="1"/>
  <c r="S187" i="31" a="1"/>
  <c r="S187" i="31" s="1"/>
  <c r="R187" i="31" s="1" a="1"/>
  <c r="R187" i="31" s="1"/>
  <c r="Z187" i="31" a="1"/>
  <c r="Z187" i="31" s="1"/>
  <c r="W187" i="31"/>
  <c r="P187" i="31"/>
  <c r="V187" i="31" a="1"/>
  <c r="V187" i="31" s="1"/>
  <c r="X174" i="31"/>
  <c r="W174" i="31"/>
  <c r="Q174" i="31"/>
  <c r="P174" i="31"/>
  <c r="X157" i="31"/>
  <c r="W157" i="31"/>
  <c r="Q157" i="31"/>
  <c r="P157" i="31"/>
  <c r="P148" i="31"/>
  <c r="X148" i="31"/>
  <c r="W148" i="31"/>
  <c r="Q148" i="31"/>
  <c r="X139" i="31"/>
  <c r="W139" i="31"/>
  <c r="Q139" i="31"/>
  <c r="P139" i="31"/>
  <c r="R115" i="31" a="1"/>
  <c r="R115" i="31" s="1"/>
  <c r="T115" i="31" s="1"/>
  <c r="Y115" i="31" s="1" a="1"/>
  <c r="Y115" i="31" s="1"/>
  <c r="AA115" i="31" s="1"/>
  <c r="R124" i="31" a="1"/>
  <c r="R124" i="31" s="1"/>
  <c r="T124" i="31" s="1"/>
  <c r="Y124" i="31" s="1" a="1"/>
  <c r="Y124" i="31" s="1"/>
  <c r="AA124" i="31" s="1"/>
  <c r="O108" i="31" a="1"/>
  <c r="O108" i="31" s="1"/>
  <c r="U108" i="31" a="1"/>
  <c r="U108" i="31" s="1"/>
  <c r="S108" i="31" a="1"/>
  <c r="S108" i="31" s="1"/>
  <c r="Z108" i="31" a="1"/>
  <c r="Z108" i="31" s="1"/>
  <c r="V108" i="31" a="1"/>
  <c r="V108" i="31" s="1"/>
  <c r="V107" i="31" a="1"/>
  <c r="V107" i="31" s="1"/>
  <c r="S107" i="31" a="1"/>
  <c r="S107" i="31" s="1"/>
  <c r="O107" i="31" a="1"/>
  <c r="O107" i="31" s="1"/>
  <c r="Z107" i="31" a="1"/>
  <c r="Z107" i="31" s="1"/>
  <c r="U107" i="31" a="1"/>
  <c r="U107" i="31" s="1"/>
  <c r="W100" i="31"/>
  <c r="P100" i="31"/>
  <c r="U91" i="31" a="1"/>
  <c r="U91" i="31" s="1"/>
  <c r="V91" i="31" a="1"/>
  <c r="V91" i="31" s="1"/>
  <c r="O91" i="31" a="1"/>
  <c r="O91" i="31" s="1"/>
  <c r="S91" i="31" a="1"/>
  <c r="S91" i="31" s="1"/>
  <c r="X91" i="31"/>
  <c r="W91" i="31"/>
  <c r="Q91" i="31"/>
  <c r="P91" i="31"/>
  <c r="Z78" i="31" a="1"/>
  <c r="Z78" i="31" s="1"/>
  <c r="U78" i="31" a="1"/>
  <c r="U78" i="31" s="1"/>
  <c r="V78" i="31" a="1"/>
  <c r="V78" i="31" s="1"/>
  <c r="O78" i="31" a="1"/>
  <c r="O78" i="31" s="1"/>
  <c r="S78" i="31" a="1"/>
  <c r="S78" i="31" s="1"/>
  <c r="Z79" i="31" a="1"/>
  <c r="Z79" i="31" s="1"/>
  <c r="O79" i="31" a="1"/>
  <c r="O79" i="31" s="1"/>
  <c r="U79" i="31" a="1"/>
  <c r="U79" i="31" s="1"/>
  <c r="V79" i="31" a="1"/>
  <c r="V79" i="31" s="1"/>
  <c r="S79" i="31" a="1"/>
  <c r="S79" i="31" s="1"/>
  <c r="Z80" i="31" a="1"/>
  <c r="Z80" i="31" s="1"/>
  <c r="V80" i="31" a="1"/>
  <c r="V80" i="31" s="1"/>
  <c r="U80" i="31" a="1"/>
  <c r="U80" i="31" s="1"/>
  <c r="S80" i="31" a="1"/>
  <c r="S80" i="31" s="1"/>
  <c r="O80" i="31" a="1"/>
  <c r="O80" i="31" s="1"/>
  <c r="Z77" i="31" a="1"/>
  <c r="Z77" i="31" s="1"/>
  <c r="V77" i="31" a="1"/>
  <c r="V77" i="31" s="1"/>
  <c r="U77" i="31" a="1"/>
  <c r="U77" i="31" s="1"/>
  <c r="S77" i="31" a="1"/>
  <c r="S77" i="31" s="1"/>
  <c r="O77" i="31" a="1"/>
  <c r="O77" i="31" s="1"/>
  <c r="W66" i="31"/>
  <c r="P66" i="31"/>
  <c r="Z65" i="31" a="1"/>
  <c r="Z65" i="31" s="1"/>
  <c r="V65" i="31" a="1"/>
  <c r="V65" i="31" s="1"/>
  <c r="U65" i="31" a="1"/>
  <c r="U65" i="31" s="1"/>
  <c r="O65" i="31" a="1"/>
  <c r="O65" i="31" s="1"/>
  <c r="S65" i="31" a="1"/>
  <c r="S65" i="31" s="1"/>
  <c r="P58" i="31"/>
  <c r="Q58" i="31"/>
  <c r="W58" i="31"/>
  <c r="X58" i="31"/>
  <c r="Z46" i="31" a="1"/>
  <c r="Z46" i="31" s="1"/>
  <c r="U46" i="31" a="1"/>
  <c r="U46" i="31" s="1"/>
  <c r="S46" i="31" a="1"/>
  <c r="S46" i="31" s="1"/>
  <c r="R46" i="31" s="1" a="1"/>
  <c r="R46" i="31" s="1"/>
  <c r="V46" i="31" a="1"/>
  <c r="V46" i="31" s="1"/>
  <c r="P46" i="31"/>
  <c r="Q46" i="31"/>
  <c r="X46" i="31"/>
  <c r="W46" i="31"/>
  <c r="O36" i="31" a="1"/>
  <c r="O36" i="31" s="1"/>
  <c r="S36" i="31" a="1"/>
  <c r="S36" i="31" s="1"/>
  <c r="U36" i="31" a="1"/>
  <c r="U36" i="31" s="1"/>
  <c r="V36" i="31" a="1"/>
  <c r="V36" i="31" s="1"/>
  <c r="AA162" i="31"/>
  <c r="AA161" i="31" s="1"/>
  <c r="Y263" i="31" a="1"/>
  <c r="Y263" i="31" s="1"/>
  <c r="AA263" i="31" s="1"/>
  <c r="Y259" i="31" a="1"/>
  <c r="Y259" i="31" s="1"/>
  <c r="AA259" i="31" s="1"/>
  <c r="AA81" i="31"/>
  <c r="Y162" i="31"/>
  <c r="Y161" i="31" s="1"/>
  <c r="Y81" i="31"/>
  <c r="K48" i="30"/>
  <c r="K206" i="31" s="1"/>
  <c r="K58" i="30"/>
  <c r="K252" i="31" s="1"/>
  <c r="K21" i="30"/>
  <c r="K51" i="30"/>
  <c r="K225" i="31" s="1"/>
  <c r="O271" i="31"/>
  <c r="Z247" i="31"/>
  <c r="F148" i="31"/>
  <c r="W36" i="31"/>
  <c r="W247" i="31"/>
  <c r="X229" i="31"/>
  <c r="S247" i="31"/>
  <c r="R229" i="31"/>
  <c r="Q229" i="31"/>
  <c r="J256" i="31"/>
  <c r="F256" i="31"/>
  <c r="K64" i="31"/>
  <c r="K73" i="31"/>
  <c r="K74" i="31"/>
  <c r="G77" i="32"/>
  <c r="K66" i="31"/>
  <c r="P247" i="31"/>
  <c r="N61" i="30"/>
  <c r="O61" i="30" s="1"/>
  <c r="R260" i="31"/>
  <c r="Q36" i="31"/>
  <c r="P36" i="31"/>
  <c r="H116" i="31" a="1"/>
  <c r="H116" i="31" s="1"/>
  <c r="J58" i="31"/>
  <c r="M20" i="31" a="1"/>
  <c r="M20" i="31" s="1"/>
  <c r="L20" i="31" a="1"/>
  <c r="L20" i="31" s="1"/>
  <c r="X20" i="31" s="1"/>
  <c r="K201" i="31"/>
  <c r="G116" i="31" a="1"/>
  <c r="G116" i="31" s="1"/>
  <c r="L116" i="31" a="1"/>
  <c r="L116" i="31" s="1"/>
  <c r="M116" i="31" a="1"/>
  <c r="M116" i="31" s="1"/>
  <c r="K116" i="31" s="1"/>
  <c r="O116" i="31" s="1" a="1"/>
  <c r="O116" i="31" s="1"/>
  <c r="I116" i="31" a="1"/>
  <c r="I116" i="31" s="1"/>
  <c r="J116" i="31" s="1"/>
  <c r="K58" i="31"/>
  <c r="K198" i="31"/>
  <c r="K15" i="31"/>
  <c r="S20" i="31" s="1" a="1"/>
  <c r="S20" i="31" s="1"/>
  <c r="B36" i="38"/>
  <c r="F215" i="31"/>
  <c r="F201" i="31"/>
  <c r="F187" i="31"/>
  <c r="F174" i="31"/>
  <c r="F157" i="31"/>
  <c r="F139" i="31"/>
  <c r="I125" i="31" a="1"/>
  <c r="I125" i="31" s="1"/>
  <c r="J125" i="31" s="1"/>
  <c r="M125" i="31" a="1"/>
  <c r="M125" i="31" s="1"/>
  <c r="K125" i="31" s="1"/>
  <c r="Z125" i="31" s="1" a="1"/>
  <c r="Z125" i="31" s="1"/>
  <c r="L125" i="31" a="1"/>
  <c r="L125" i="31" s="1"/>
  <c r="G125" i="31" a="1"/>
  <c r="G125" i="31" s="1"/>
  <c r="H125" i="31" a="1"/>
  <c r="H125" i="31" s="1"/>
  <c r="F100" i="31"/>
  <c r="F91" i="31"/>
  <c r="F66" i="31"/>
  <c r="F58" i="31"/>
  <c r="AB59" i="31" s="1" a="1"/>
  <c r="AB59" i="31" s="1"/>
  <c r="F46" i="31"/>
  <c r="F36" i="31"/>
  <c r="H20" i="31" a="1"/>
  <c r="H20" i="31" s="1"/>
  <c r="I20" i="31" a="1"/>
  <c r="I20" i="31" s="1"/>
  <c r="G20" i="31" a="1"/>
  <c r="G20" i="31" s="1"/>
  <c r="H19" i="8"/>
  <c r="H18" i="8"/>
  <c r="H15" i="8"/>
  <c r="H14" i="8"/>
  <c r="X65" i="31" l="1"/>
  <c r="X107" i="31"/>
  <c r="X106" i="31" s="1"/>
  <c r="Q107" i="31"/>
  <c r="K14" i="8"/>
  <c r="L14" i="8"/>
  <c r="L19" i="8"/>
  <c r="K19" i="8"/>
  <c r="L15" i="8"/>
  <c r="K15" i="8"/>
  <c r="L18" i="8"/>
  <c r="L20" i="8" s="1"/>
  <c r="K18" i="8"/>
  <c r="K20" i="8" s="1"/>
  <c r="K71" i="31"/>
  <c r="K72" i="31" s="1"/>
  <c r="Z72" i="31" s="1" a="1"/>
  <c r="Z72" i="31" s="1"/>
  <c r="E7" i="51"/>
  <c r="Z20" i="31" a="1"/>
  <c r="Z20" i="31" s="1"/>
  <c r="Q65" i="31"/>
  <c r="T235" i="31"/>
  <c r="Y235" i="31" s="1" a="1"/>
  <c r="Y235" i="31" s="1"/>
  <c r="AA235" i="31" s="1"/>
  <c r="O20" i="31" a="1"/>
  <c r="O20" i="31" s="1"/>
  <c r="V20" i="31" a="1"/>
  <c r="V20" i="31" s="1"/>
  <c r="T251" i="31"/>
  <c r="Y251" i="31" s="1" a="1"/>
  <c r="Y251" i="31" s="1"/>
  <c r="AA251" i="31" s="1"/>
  <c r="X187" i="31"/>
  <c r="X238" i="31"/>
  <c r="R237" i="31" a="1"/>
  <c r="R237" i="31" s="1"/>
  <c r="Q237" i="31"/>
  <c r="R238" i="31" a="1"/>
  <c r="R238" i="31" s="1"/>
  <c r="Q238" i="31"/>
  <c r="R239" i="31" a="1"/>
  <c r="R239" i="31" s="1"/>
  <c r="T239" i="31" s="1"/>
  <c r="Y239" i="31" s="1" a="1"/>
  <c r="Y239" i="31" s="1"/>
  <c r="AA239" i="31" s="1"/>
  <c r="X237" i="31"/>
  <c r="X236" i="31"/>
  <c r="R236" i="31" a="1"/>
  <c r="R236" i="31" s="1"/>
  <c r="Q236" i="31"/>
  <c r="R215" i="31" a="1"/>
  <c r="R215" i="31" s="1"/>
  <c r="T213" i="31"/>
  <c r="Y213" i="31" s="1" a="1"/>
  <c r="Y213" i="31" s="1"/>
  <c r="AA213" i="31" s="1"/>
  <c r="Q215" i="31"/>
  <c r="X212" i="31"/>
  <c r="R212" i="31" a="1"/>
  <c r="R212" i="31" s="1"/>
  <c r="Q212" i="31"/>
  <c r="V201" i="31" a="1"/>
  <c r="V201" i="31" s="1"/>
  <c r="U201" i="31" a="1"/>
  <c r="U201" i="31" s="1"/>
  <c r="S201" i="31" a="1"/>
  <c r="S201" i="31" s="1"/>
  <c r="Z201" i="31" a="1"/>
  <c r="Z201" i="31" s="1"/>
  <c r="O201" i="31" a="1"/>
  <c r="O201" i="31" s="1"/>
  <c r="Q199" i="31"/>
  <c r="R199" i="31" a="1"/>
  <c r="R199" i="31" s="1"/>
  <c r="V198" i="31" a="1"/>
  <c r="V198" i="31" s="1"/>
  <c r="U198" i="31" a="1"/>
  <c r="U198" i="31" s="1"/>
  <c r="O198" i="31" a="1"/>
  <c r="O198" i="31" s="1"/>
  <c r="Z198" i="31" a="1"/>
  <c r="Z198" i="31" s="1"/>
  <c r="S198" i="31" a="1"/>
  <c r="S198" i="31" s="1"/>
  <c r="X199" i="31"/>
  <c r="Q187" i="31"/>
  <c r="T187" i="31" s="1"/>
  <c r="Y187" i="31" s="1" a="1"/>
  <c r="Y187" i="31" s="1"/>
  <c r="I149" i="31" a="1"/>
  <c r="I149" i="31" s="1"/>
  <c r="J149" i="31" s="1"/>
  <c r="X125" i="31"/>
  <c r="W125" i="31"/>
  <c r="Q125" i="31"/>
  <c r="P125" i="31"/>
  <c r="O125" i="31" a="1"/>
  <c r="O125" i="31" s="1"/>
  <c r="S125" i="31" a="1"/>
  <c r="S125" i="31" s="1"/>
  <c r="V125" i="31" a="1"/>
  <c r="V125" i="31" s="1"/>
  <c r="U125" i="31" a="1"/>
  <c r="U125" i="31" s="1"/>
  <c r="S116" i="31" a="1"/>
  <c r="S116" i="31" s="1"/>
  <c r="R116" i="31" s="1" a="1"/>
  <c r="R116" i="31" s="1"/>
  <c r="Q116" i="31"/>
  <c r="W116" i="31"/>
  <c r="X116" i="31"/>
  <c r="P116" i="31"/>
  <c r="U116" i="31" a="1"/>
  <c r="U116" i="31" s="1"/>
  <c r="Z116" i="31" a="1"/>
  <c r="Z116" i="31" s="1"/>
  <c r="V116" i="31" a="1"/>
  <c r="V116" i="31" s="1"/>
  <c r="R107" i="31" a="1"/>
  <c r="R107" i="31" s="1"/>
  <c r="R91" i="31" a="1"/>
  <c r="R91" i="31" s="1"/>
  <c r="T91" i="31" s="1"/>
  <c r="Y91" i="31" s="1" a="1"/>
  <c r="Y91" i="31" s="1"/>
  <c r="AA91" i="31" s="1"/>
  <c r="R108" i="31" a="1"/>
  <c r="R108" i="31" s="1"/>
  <c r="T108" i="31" s="1"/>
  <c r="Y108" i="31" s="1" a="1"/>
  <c r="Y108" i="31" s="1"/>
  <c r="AA108" i="31" s="1"/>
  <c r="R80" i="31" a="1"/>
  <c r="R80" i="31" s="1"/>
  <c r="Q80" i="31"/>
  <c r="X80" i="31"/>
  <c r="R78" i="31" a="1"/>
  <c r="R78" i="31" s="1"/>
  <c r="Q78" i="31"/>
  <c r="X79" i="31"/>
  <c r="Q79" i="31"/>
  <c r="R79" i="31" a="1"/>
  <c r="R79" i="31" s="1"/>
  <c r="X78" i="31"/>
  <c r="R77" i="31" a="1"/>
  <c r="R77" i="31" s="1"/>
  <c r="Q77" i="31"/>
  <c r="X77" i="31"/>
  <c r="O74" i="31" a="1"/>
  <c r="O74" i="31" s="1"/>
  <c r="Z74" i="31" a="1"/>
  <c r="Z74" i="31" s="1"/>
  <c r="U74" i="31" a="1"/>
  <c r="U74" i="31" s="1"/>
  <c r="V74" i="31" a="1"/>
  <c r="V74" i="31" s="1"/>
  <c r="S74" i="31" a="1"/>
  <c r="S74" i="31" s="1"/>
  <c r="O73" i="31" a="1"/>
  <c r="O73" i="31" s="1"/>
  <c r="U73" i="31" a="1"/>
  <c r="U73" i="31" s="1"/>
  <c r="V73" i="31" a="1"/>
  <c r="V73" i="31" s="1"/>
  <c r="S73" i="31" a="1"/>
  <c r="S73" i="31" s="1"/>
  <c r="Z73" i="31" a="1"/>
  <c r="Z73" i="31" s="1"/>
  <c r="R65" i="31" a="1"/>
  <c r="R65" i="31" s="1"/>
  <c r="Z66" i="31" a="1"/>
  <c r="Z66" i="31" s="1"/>
  <c r="V66" i="31" a="1"/>
  <c r="V66" i="31" s="1"/>
  <c r="U66" i="31" a="1"/>
  <c r="U66" i="31" s="1"/>
  <c r="S66" i="31" a="1"/>
  <c r="S66" i="31" s="1"/>
  <c r="O66" i="31" a="1"/>
  <c r="O66" i="31" s="1"/>
  <c r="Q66" i="31" s="1"/>
  <c r="Z64" i="31" a="1"/>
  <c r="Z64" i="31" s="1"/>
  <c r="V64" i="31" a="1"/>
  <c r="V64" i="31" s="1"/>
  <c r="X64" i="31" s="1"/>
  <c r="U64" i="31" a="1"/>
  <c r="U64" i="31" s="1"/>
  <c r="O64" i="31" a="1"/>
  <c r="O64" i="31" s="1"/>
  <c r="S64" i="31" a="1"/>
  <c r="S64" i="31" s="1"/>
  <c r="T46" i="31"/>
  <c r="Y46" i="31" s="1" a="1"/>
  <c r="Y46" i="31" s="1"/>
  <c r="AA46" i="31" s="1"/>
  <c r="K253" i="31"/>
  <c r="K256" i="31"/>
  <c r="K255" i="31"/>
  <c r="K254" i="31"/>
  <c r="G149" i="31" a="1"/>
  <c r="G149" i="31" s="1"/>
  <c r="L149" i="31" a="1"/>
  <c r="L149" i="31" s="1"/>
  <c r="M149" i="31" a="1"/>
  <c r="M149" i="31" s="1"/>
  <c r="K149" i="31" s="1"/>
  <c r="O149" i="31" s="1" a="1"/>
  <c r="O149" i="31" s="1"/>
  <c r="V234" i="31"/>
  <c r="H149" i="31" a="1"/>
  <c r="H149" i="31" s="1"/>
  <c r="Z234" i="31"/>
  <c r="V106" i="31"/>
  <c r="Z76" i="31"/>
  <c r="Z75" i="31" s="1"/>
  <c r="Z106" i="31"/>
  <c r="V76" i="31"/>
  <c r="V75" i="31" s="1"/>
  <c r="W20" i="31"/>
  <c r="W252" i="31"/>
  <c r="W246" i="31" s="1"/>
  <c r="Q247" i="31"/>
  <c r="T229" i="31"/>
  <c r="U234" i="31"/>
  <c r="O234" i="31"/>
  <c r="S234" i="31"/>
  <c r="P252" i="31"/>
  <c r="P246" i="31" s="1"/>
  <c r="D54" i="32" s="1"/>
  <c r="S106" i="31"/>
  <c r="O106" i="31"/>
  <c r="U106" i="31"/>
  <c r="N14" i="8"/>
  <c r="P14" i="8"/>
  <c r="Q14" i="8"/>
  <c r="O14" i="8"/>
  <c r="M14" i="8"/>
  <c r="P15" i="8"/>
  <c r="O15" i="8"/>
  <c r="N15" i="8"/>
  <c r="M15" i="8"/>
  <c r="Q15" i="8"/>
  <c r="M18" i="8"/>
  <c r="Q18" i="8"/>
  <c r="P18" i="8"/>
  <c r="O18" i="8"/>
  <c r="N18" i="8"/>
  <c r="P19" i="8"/>
  <c r="Q19" i="8"/>
  <c r="O19" i="8"/>
  <c r="M19" i="8"/>
  <c r="N19" i="8"/>
  <c r="U76" i="31"/>
  <c r="U75" i="31" s="1"/>
  <c r="H8" i="32" s="1"/>
  <c r="P20" i="31"/>
  <c r="Q20" i="31"/>
  <c r="M175" i="31" a="1"/>
  <c r="M175" i="31" s="1"/>
  <c r="K175" i="31" s="1"/>
  <c r="Z175" i="31" s="1" a="1"/>
  <c r="Z175" i="31" s="1"/>
  <c r="S76" i="31"/>
  <c r="S75" i="31" s="1"/>
  <c r="G44" i="32" s="1"/>
  <c r="O76" i="31"/>
  <c r="L59" i="31" a="1"/>
  <c r="L59" i="31" s="1"/>
  <c r="R36" i="31" a="1"/>
  <c r="R36" i="31" s="1"/>
  <c r="J20" i="31"/>
  <c r="F116" i="31"/>
  <c r="K20" i="31"/>
  <c r="U20" i="31" s="1" a="1"/>
  <c r="U20" i="31" s="1"/>
  <c r="C36" i="38"/>
  <c r="C50" i="38" s="1"/>
  <c r="E36" i="38"/>
  <c r="K19" i="31"/>
  <c r="M112" i="31" a="1"/>
  <c r="M112" i="31" s="1"/>
  <c r="K112" i="31" s="1"/>
  <c r="M111" i="31" a="1"/>
  <c r="M111" i="31" s="1"/>
  <c r="K111" i="31" s="1"/>
  <c r="L216" i="31" a="1"/>
  <c r="L216" i="31" s="1"/>
  <c r="I216" i="31" a="1"/>
  <c r="I216" i="31" s="1"/>
  <c r="J216" i="31" s="1"/>
  <c r="H216" i="31" a="1"/>
  <c r="H216" i="31" s="1"/>
  <c r="G216" i="31" a="1"/>
  <c r="G216" i="31" s="1"/>
  <c r="L202" i="31" a="1"/>
  <c r="L202" i="31" s="1"/>
  <c r="G202" i="31" a="1"/>
  <c r="G202" i="31" s="1"/>
  <c r="H202" i="31" a="1"/>
  <c r="H202" i="31" s="1"/>
  <c r="I202" i="31" a="1"/>
  <c r="I202" i="31" s="1"/>
  <c r="J202" i="31" s="1"/>
  <c r="H188" i="31" a="1"/>
  <c r="H188" i="31" s="1"/>
  <c r="I188" i="31" a="1"/>
  <c r="I188" i="31" s="1"/>
  <c r="J188" i="31" s="1"/>
  <c r="L188" i="31" a="1"/>
  <c r="L188" i="31" s="1"/>
  <c r="G188" i="31" a="1"/>
  <c r="G188" i="31" s="1"/>
  <c r="L175" i="31" a="1"/>
  <c r="L175" i="31" s="1"/>
  <c r="I175" i="31" a="1"/>
  <c r="I175" i="31" s="1"/>
  <c r="G175" i="31" a="1"/>
  <c r="G175" i="31" s="1"/>
  <c r="H175" i="31" a="1"/>
  <c r="H175" i="31" s="1"/>
  <c r="I158" i="31" a="1"/>
  <c r="I158" i="31" s="1"/>
  <c r="J158" i="31" s="1"/>
  <c r="M158" i="31" a="1"/>
  <c r="M158" i="31" s="1"/>
  <c r="K158" i="31" s="1"/>
  <c r="Z158" i="31" s="1" a="1"/>
  <c r="Z158" i="31" s="1"/>
  <c r="L158" i="31" a="1"/>
  <c r="L158" i="31" s="1"/>
  <c r="G158" i="31" a="1"/>
  <c r="G158" i="31" s="1"/>
  <c r="H158" i="31" a="1"/>
  <c r="H158" i="31" s="1"/>
  <c r="I140" i="31" a="1"/>
  <c r="I140" i="31" s="1"/>
  <c r="J140" i="31" s="1"/>
  <c r="M140" i="31" a="1"/>
  <c r="M140" i="31" s="1"/>
  <c r="K140" i="31" s="1"/>
  <c r="Z140" i="31" s="1" a="1"/>
  <c r="Z140" i="31" s="1"/>
  <c r="G140" i="31" a="1"/>
  <c r="G140" i="31" s="1"/>
  <c r="L140" i="31" a="1"/>
  <c r="L140" i="31" s="1"/>
  <c r="H140" i="31" a="1"/>
  <c r="H140" i="31" s="1"/>
  <c r="F125" i="31"/>
  <c r="H101" i="31" a="1"/>
  <c r="H101" i="31" s="1"/>
  <c r="I101" i="31" a="1"/>
  <c r="I101" i="31" s="1"/>
  <c r="J101" i="31" s="1"/>
  <c r="L101" i="31" a="1"/>
  <c r="L101" i="31" s="1"/>
  <c r="G101" i="31" a="1"/>
  <c r="G101" i="31" s="1"/>
  <c r="H92" i="31" a="1"/>
  <c r="H92" i="31" s="1"/>
  <c r="I92" i="31" a="1"/>
  <c r="I92" i="31" s="1"/>
  <c r="J92" i="31" s="1"/>
  <c r="M92" i="31" a="1"/>
  <c r="M92" i="31" s="1"/>
  <c r="K92" i="31" s="1"/>
  <c r="Z92" i="31" s="1" a="1"/>
  <c r="Z92" i="31" s="1"/>
  <c r="L92" i="31" a="1"/>
  <c r="L92" i="31" s="1"/>
  <c r="G92" i="31" a="1"/>
  <c r="G92" i="31" s="1"/>
  <c r="H67" i="31" a="1"/>
  <c r="H67" i="31" s="1"/>
  <c r="I67" i="31" a="1"/>
  <c r="I67" i="31" s="1"/>
  <c r="J67" i="31" s="1"/>
  <c r="L67" i="31" a="1"/>
  <c r="L67" i="31" s="1"/>
  <c r="G67" i="31" a="1"/>
  <c r="G67" i="31" s="1"/>
  <c r="G59" i="31" a="1"/>
  <c r="G59" i="31" s="1"/>
  <c r="H59" i="31" a="1"/>
  <c r="H59" i="31" s="1"/>
  <c r="I59" i="31" a="1"/>
  <c r="I59" i="31" s="1"/>
  <c r="M59" i="31" a="1"/>
  <c r="M59" i="31" s="1"/>
  <c r="G47" i="31" a="1"/>
  <c r="G47" i="31" s="1"/>
  <c r="H47" i="31" a="1"/>
  <c r="H47" i="31" s="1"/>
  <c r="I47" i="31" a="1"/>
  <c r="I47" i="31" s="1"/>
  <c r="J47" i="31" s="1"/>
  <c r="M47" i="31" a="1"/>
  <c r="M47" i="31" s="1"/>
  <c r="K47" i="31" s="1"/>
  <c r="O47" i="31" s="1" a="1"/>
  <c r="O47" i="31" s="1"/>
  <c r="L47" i="31" a="1"/>
  <c r="L47" i="31" s="1"/>
  <c r="G37" i="31" a="1"/>
  <c r="G37" i="31" s="1"/>
  <c r="H37" i="31" a="1"/>
  <c r="H37" i="31" s="1"/>
  <c r="I37" i="31" a="1"/>
  <c r="I37" i="31" s="1"/>
  <c r="J37" i="31" s="1"/>
  <c r="M37" i="31" a="1"/>
  <c r="M37" i="31" s="1"/>
  <c r="K37" i="31" s="1"/>
  <c r="U37" i="31" s="1" a="1"/>
  <c r="U37" i="31" s="1"/>
  <c r="L37" i="31" a="1"/>
  <c r="L37" i="31" s="1"/>
  <c r="X37" i="31" s="1"/>
  <c r="F20" i="31"/>
  <c r="X66" i="31" l="1"/>
  <c r="T107" i="31"/>
  <c r="Y107" i="31" s="1" a="1"/>
  <c r="Y107" i="31" s="1"/>
  <c r="AA107" i="31" s="1"/>
  <c r="X74" i="31"/>
  <c r="X73" i="31"/>
  <c r="L16" i="8"/>
  <c r="K16" i="8"/>
  <c r="V72" i="31" a="1"/>
  <c r="V72" i="31" s="1"/>
  <c r="V71" i="31" s="1"/>
  <c r="O72" i="31" a="1"/>
  <c r="O72" i="31" s="1"/>
  <c r="S72" i="31" a="1"/>
  <c r="S72" i="31" s="1"/>
  <c r="S71" i="31" s="1"/>
  <c r="U72" i="31" a="1"/>
  <c r="U72" i="31" s="1"/>
  <c r="U71" i="31" s="1"/>
  <c r="E19" i="51"/>
  <c r="O65" i="51"/>
  <c r="J65" i="51"/>
  <c r="P65" i="51"/>
  <c r="Q65" i="51"/>
  <c r="F65" i="51"/>
  <c r="G65" i="51"/>
  <c r="K65" i="51"/>
  <c r="M65" i="51"/>
  <c r="I65" i="51"/>
  <c r="H65" i="51"/>
  <c r="N65" i="51"/>
  <c r="L65" i="51"/>
  <c r="T65" i="31"/>
  <c r="Y65" i="31" s="1" a="1"/>
  <c r="Y65" i="31" s="1"/>
  <c r="AA65" i="31" s="1"/>
  <c r="Q64" i="31"/>
  <c r="Q73" i="31"/>
  <c r="Q74" i="31"/>
  <c r="T236" i="31"/>
  <c r="Y236" i="31" s="1" a="1"/>
  <c r="Y236" i="31" s="1"/>
  <c r="AA236" i="31" s="1"/>
  <c r="T215" i="31"/>
  <c r="Y215" i="31" s="1" a="1"/>
  <c r="Y215" i="31" s="1"/>
  <c r="AA215" i="31" s="1"/>
  <c r="AA187" i="31"/>
  <c r="V254" i="31" a="1"/>
  <c r="V254" i="31" s="1"/>
  <c r="O254" i="31" a="1"/>
  <c r="O254" i="31" s="1"/>
  <c r="Z254" i="31" a="1"/>
  <c r="Z254" i="31" s="1"/>
  <c r="S254" i="31" a="1"/>
  <c r="S254" i="31" s="1"/>
  <c r="U254" i="31" a="1"/>
  <c r="U254" i="31" s="1"/>
  <c r="Z255" i="31" a="1"/>
  <c r="Z255" i="31" s="1"/>
  <c r="V255" i="31" a="1"/>
  <c r="V255" i="31" s="1"/>
  <c r="U255" i="31" a="1"/>
  <c r="U255" i="31" s="1"/>
  <c r="S255" i="31" a="1"/>
  <c r="S255" i="31" s="1"/>
  <c r="O255" i="31" a="1"/>
  <c r="O255" i="31" s="1"/>
  <c r="S256" i="31" a="1"/>
  <c r="S256" i="31" s="1"/>
  <c r="O256" i="31" a="1"/>
  <c r="O256" i="31" s="1"/>
  <c r="V256" i="31" a="1"/>
  <c r="V256" i="31" s="1"/>
  <c r="U256" i="31" a="1"/>
  <c r="U256" i="31" s="1"/>
  <c r="Z256" i="31" a="1"/>
  <c r="Z256" i="31" s="1"/>
  <c r="Z253" i="31" a="1"/>
  <c r="Z253" i="31" s="1"/>
  <c r="O253" i="31" a="1"/>
  <c r="O253" i="31" s="1"/>
  <c r="S253" i="31" a="1"/>
  <c r="S253" i="31" s="1"/>
  <c r="V253" i="31" a="1"/>
  <c r="V253" i="31" s="1"/>
  <c r="U253" i="31" a="1"/>
  <c r="U253" i="31" s="1"/>
  <c r="T238" i="31"/>
  <c r="Y238" i="31" s="1" a="1"/>
  <c r="Y238" i="31" s="1"/>
  <c r="AA238" i="31" s="1"/>
  <c r="T237" i="31"/>
  <c r="Y237" i="31" s="1" a="1"/>
  <c r="Y237" i="31" s="1"/>
  <c r="AA237" i="31" s="1"/>
  <c r="T212" i="31"/>
  <c r="Y212" i="31" s="1" a="1"/>
  <c r="Y212" i="31" s="1"/>
  <c r="AA212" i="31" s="1"/>
  <c r="X216" i="31"/>
  <c r="Q216" i="31"/>
  <c r="W216" i="31"/>
  <c r="P216" i="31"/>
  <c r="X202" i="31"/>
  <c r="W202" i="31"/>
  <c r="Q202" i="31"/>
  <c r="P202" i="31"/>
  <c r="T199" i="31"/>
  <c r="Y199" i="31" s="1" a="1"/>
  <c r="Y199" i="31" s="1"/>
  <c r="AA199" i="31" s="1"/>
  <c r="X198" i="31"/>
  <c r="F149" i="31"/>
  <c r="I150" i="31" s="1" a="1"/>
  <c r="I150" i="31" s="1"/>
  <c r="J150" i="31" s="1"/>
  <c r="R201" i="31" a="1"/>
  <c r="R201" i="31" s="1"/>
  <c r="Q201" i="31"/>
  <c r="R198" i="31" a="1"/>
  <c r="R198" i="31" s="1"/>
  <c r="Q198" i="31"/>
  <c r="X201" i="31"/>
  <c r="Q188" i="31"/>
  <c r="P188" i="31"/>
  <c r="W188" i="31"/>
  <c r="X188" i="31"/>
  <c r="T77" i="31"/>
  <c r="Y77" i="31" s="1" a="1"/>
  <c r="Y77" i="31" s="1"/>
  <c r="AA77" i="31" s="1"/>
  <c r="O175" i="31" a="1"/>
  <c r="O175" i="31" s="1"/>
  <c r="S175" i="31" a="1"/>
  <c r="S175" i="31" s="1"/>
  <c r="P175" i="31"/>
  <c r="W175" i="31"/>
  <c r="X175" i="31"/>
  <c r="Q175" i="31"/>
  <c r="V175" i="31" a="1"/>
  <c r="V175" i="31" s="1"/>
  <c r="U175" i="31" a="1"/>
  <c r="U175" i="31" s="1"/>
  <c r="U158" i="31" a="1"/>
  <c r="U158" i="31" s="1"/>
  <c r="V158" i="31" a="1"/>
  <c r="V158" i="31" s="1"/>
  <c r="O158" i="31" a="1"/>
  <c r="O158" i="31" s="1"/>
  <c r="X158" i="31"/>
  <c r="Q158" i="31"/>
  <c r="W158" i="31"/>
  <c r="P158" i="31"/>
  <c r="S158" i="31" a="1"/>
  <c r="S158" i="31" s="1"/>
  <c r="X149" i="31"/>
  <c r="Q149" i="31"/>
  <c r="W149" i="31"/>
  <c r="P149" i="31"/>
  <c r="U149" i="31" a="1"/>
  <c r="U149" i="31" s="1"/>
  <c r="S149" i="31" a="1"/>
  <c r="S149" i="31" s="1"/>
  <c r="R149" i="31" s="1" a="1"/>
  <c r="R149" i="31" s="1"/>
  <c r="V149" i="31" a="1"/>
  <c r="V149" i="31" s="1"/>
  <c r="Z149" i="31" a="1"/>
  <c r="Z149" i="31" s="1"/>
  <c r="O140" i="31" a="1"/>
  <c r="O140" i="31" s="1"/>
  <c r="S140" i="31" a="1"/>
  <c r="S140" i="31" s="1"/>
  <c r="U140" i="31" a="1"/>
  <c r="U140" i="31" s="1"/>
  <c r="V140" i="31" a="1"/>
  <c r="V140" i="31" s="1"/>
  <c r="X140" i="31"/>
  <c r="W140" i="31"/>
  <c r="P140" i="31"/>
  <c r="Q140" i="31"/>
  <c r="R125" i="31" a="1"/>
  <c r="R125" i="31" s="1"/>
  <c r="T125" i="31" s="1"/>
  <c r="Y125" i="31" s="1" a="1"/>
  <c r="Y125" i="31" s="1"/>
  <c r="AA125" i="31" s="1"/>
  <c r="T116" i="31"/>
  <c r="Y116" i="31" s="1" a="1"/>
  <c r="Y116" i="31" s="1"/>
  <c r="AA116" i="31" s="1"/>
  <c r="O112" i="31" a="1"/>
  <c r="O112" i="31" s="1"/>
  <c r="S112" i="31" a="1"/>
  <c r="S112" i="31" s="1"/>
  <c r="V112" i="31" a="1"/>
  <c r="V112" i="31" s="1"/>
  <c r="Z112" i="31" a="1"/>
  <c r="Z112" i="31" s="1"/>
  <c r="U112" i="31" a="1"/>
  <c r="U112" i="31" s="1"/>
  <c r="Z111" i="31" a="1"/>
  <c r="Z111" i="31" s="1"/>
  <c r="V111" i="31" a="1"/>
  <c r="V111" i="31" s="1"/>
  <c r="U111" i="31" a="1"/>
  <c r="U111" i="31" s="1"/>
  <c r="O111" i="31" a="1"/>
  <c r="O111" i="31" s="1"/>
  <c r="S111" i="31" a="1"/>
  <c r="S111" i="31" s="1"/>
  <c r="T78" i="31"/>
  <c r="Y78" i="31" s="1" a="1"/>
  <c r="Y78" i="31" s="1"/>
  <c r="AA78" i="31" s="1"/>
  <c r="P101" i="31"/>
  <c r="W101" i="31"/>
  <c r="O92" i="31" a="1"/>
  <c r="O92" i="31" s="1"/>
  <c r="U92" i="31" a="1"/>
  <c r="U92" i="31" s="1"/>
  <c r="S92" i="31" a="1"/>
  <c r="S92" i="31" s="1"/>
  <c r="V92" i="31" a="1"/>
  <c r="V92" i="31" s="1"/>
  <c r="X92" i="31"/>
  <c r="W92" i="31"/>
  <c r="Q92" i="31"/>
  <c r="P92" i="31"/>
  <c r="T80" i="31"/>
  <c r="Y80" i="31" s="1" a="1"/>
  <c r="Y80" i="31" s="1"/>
  <c r="AA80" i="31" s="1"/>
  <c r="Z71" i="31"/>
  <c r="T79" i="31"/>
  <c r="Y79" i="31" s="1" a="1"/>
  <c r="Y79" i="31" s="1"/>
  <c r="AA79" i="31" s="1"/>
  <c r="R73" i="31" a="1"/>
  <c r="R73" i="31" s="1"/>
  <c r="R74" i="31" a="1"/>
  <c r="R74" i="31" s="1"/>
  <c r="R64" i="31" a="1"/>
  <c r="R64" i="31" s="1"/>
  <c r="R66" i="31" a="1"/>
  <c r="R66" i="31" s="1"/>
  <c r="T66" i="31" s="1"/>
  <c r="Y66" i="31" s="1" a="1"/>
  <c r="Y66" i="31" s="1"/>
  <c r="W67" i="31"/>
  <c r="P67" i="31"/>
  <c r="P59" i="31"/>
  <c r="Q59" i="31"/>
  <c r="W59" i="31"/>
  <c r="X59" i="31"/>
  <c r="V47" i="31" a="1"/>
  <c r="V47" i="31" s="1"/>
  <c r="P47" i="31"/>
  <c r="Q47" i="31"/>
  <c r="W47" i="31"/>
  <c r="X47" i="31"/>
  <c r="U47" i="31" a="1"/>
  <c r="U47" i="31" s="1"/>
  <c r="S47" i="31" a="1"/>
  <c r="S47" i="31" s="1"/>
  <c r="R47" i="31" s="1" a="1"/>
  <c r="R47" i="31" s="1"/>
  <c r="Z47" i="31" a="1"/>
  <c r="Z47" i="31" s="1"/>
  <c r="Z37" i="31" a="1"/>
  <c r="Z37" i="31" s="1"/>
  <c r="S37" i="31" a="1"/>
  <c r="S37" i="31" s="1"/>
  <c r="V37" i="31" a="1"/>
  <c r="V37" i="31" s="1"/>
  <c r="O37" i="31" a="1"/>
  <c r="O37" i="31" s="1"/>
  <c r="Z21" i="31" a="1"/>
  <c r="Z21" i="31" s="1"/>
  <c r="V21" i="31" a="1"/>
  <c r="V21" i="31" s="1"/>
  <c r="S21" i="31" a="1"/>
  <c r="S21" i="31" s="1"/>
  <c r="O21" i="31" a="1"/>
  <c r="O21" i="31" s="1"/>
  <c r="Y229" i="31"/>
  <c r="AA229" i="31"/>
  <c r="Y247" i="31"/>
  <c r="S272" i="31"/>
  <c r="R273" i="31" a="1"/>
  <c r="R273" i="31" s="1"/>
  <c r="W37" i="31"/>
  <c r="X234" i="31"/>
  <c r="X76" i="31"/>
  <c r="X75" i="31" s="1"/>
  <c r="B104" i="49"/>
  <c r="K59" i="31"/>
  <c r="R234" i="31"/>
  <c r="Q234" i="31"/>
  <c r="R106" i="31"/>
  <c r="Q106" i="31"/>
  <c r="Q20" i="8"/>
  <c r="Q16" i="8"/>
  <c r="P16" i="8"/>
  <c r="P20" i="8"/>
  <c r="T36" i="31"/>
  <c r="O75" i="31"/>
  <c r="O13" i="7"/>
  <c r="M13" i="7"/>
  <c r="N13" i="7"/>
  <c r="M12" i="7"/>
  <c r="N12" i="7"/>
  <c r="O12" i="7"/>
  <c r="Q37" i="31"/>
  <c r="P37" i="31"/>
  <c r="G117" i="31" a="1"/>
  <c r="G117" i="31" s="1"/>
  <c r="R76" i="31"/>
  <c r="R75" i="31" s="1"/>
  <c r="F44" i="32" s="1"/>
  <c r="Q76" i="31"/>
  <c r="Q75" i="31" s="1"/>
  <c r="E44" i="32" s="1"/>
  <c r="J59" i="31"/>
  <c r="R20" i="31" a="1"/>
  <c r="R20" i="31" s="1"/>
  <c r="M21" i="31" a="1"/>
  <c r="M21" i="31" s="1"/>
  <c r="K21" i="31" s="1"/>
  <c r="U21" i="31" s="1" a="1"/>
  <c r="U21" i="31" s="1"/>
  <c r="L21" i="31" a="1"/>
  <c r="L21" i="31" s="1"/>
  <c r="X21" i="31" s="1"/>
  <c r="L117" i="31" a="1"/>
  <c r="L117" i="31" s="1"/>
  <c r="M117" i="31" a="1"/>
  <c r="M117" i="31" s="1"/>
  <c r="K117" i="31" s="1"/>
  <c r="S117" i="31" s="1" a="1"/>
  <c r="S117" i="31" s="1"/>
  <c r="I117" i="31" a="1"/>
  <c r="I117" i="31" s="1"/>
  <c r="J117" i="31" s="1"/>
  <c r="H117" i="31" a="1"/>
  <c r="H117" i="31" s="1"/>
  <c r="J175" i="31"/>
  <c r="F216" i="31"/>
  <c r="F202" i="31"/>
  <c r="F188" i="31"/>
  <c r="F175" i="31"/>
  <c r="F158" i="31"/>
  <c r="F140" i="31"/>
  <c r="I126" i="31" a="1"/>
  <c r="I126" i="31" s="1"/>
  <c r="J126" i="31" s="1"/>
  <c r="M126" i="31" a="1"/>
  <c r="M126" i="31" s="1"/>
  <c r="K126" i="31" s="1"/>
  <c r="Z126" i="31" s="1" a="1"/>
  <c r="Z126" i="31" s="1"/>
  <c r="H126" i="31" a="1"/>
  <c r="H126" i="31" s="1"/>
  <c r="L126" i="31" a="1"/>
  <c r="L126" i="31" s="1"/>
  <c r="G126" i="31" a="1"/>
  <c r="G126" i="31" s="1"/>
  <c r="F101" i="31"/>
  <c r="F92" i="31"/>
  <c r="F67" i="31"/>
  <c r="F59" i="31"/>
  <c r="AB60" i="31" s="1" a="1"/>
  <c r="AB60" i="31" s="1"/>
  <c r="F47" i="31"/>
  <c r="F37" i="31"/>
  <c r="G21" i="31" a="1"/>
  <c r="G21" i="31" s="1"/>
  <c r="H21" i="31" a="1"/>
  <c r="H21" i="31" s="1"/>
  <c r="I21" i="31" a="1"/>
  <c r="I21" i="31" s="1"/>
  <c r="AA66" i="31" l="1"/>
  <c r="X72" i="31"/>
  <c r="X71" i="31" s="1"/>
  <c r="Q72" i="31"/>
  <c r="Q71" i="31" s="1"/>
  <c r="R72" i="31" a="1"/>
  <c r="R72" i="31" s="1"/>
  <c r="O71" i="31"/>
  <c r="E21" i="51"/>
  <c r="J76" i="51"/>
  <c r="P96" i="51"/>
  <c r="F96" i="51"/>
  <c r="M96" i="51"/>
  <c r="H76" i="51"/>
  <c r="N96" i="51"/>
  <c r="K76" i="51"/>
  <c r="Q96" i="51"/>
  <c r="G96" i="51"/>
  <c r="N76" i="51"/>
  <c r="L96" i="51"/>
  <c r="O76" i="51"/>
  <c r="G76" i="51"/>
  <c r="M76" i="51"/>
  <c r="Q76" i="51"/>
  <c r="E20" i="51"/>
  <c r="J96" i="51"/>
  <c r="H96" i="51"/>
  <c r="O96" i="51"/>
  <c r="I96" i="51"/>
  <c r="K96" i="51"/>
  <c r="E22" i="51"/>
  <c r="I76" i="51"/>
  <c r="P76" i="51"/>
  <c r="L76" i="51"/>
  <c r="F76" i="51"/>
  <c r="T74" i="31"/>
  <c r="Y74" i="31" s="1" a="1"/>
  <c r="Y74" i="31" s="1"/>
  <c r="AA74" i="31" s="1"/>
  <c r="T73" i="31"/>
  <c r="Y73" i="31" s="1" a="1"/>
  <c r="Y73" i="31" s="1"/>
  <c r="AA73" i="31" s="1"/>
  <c r="T64" i="31"/>
  <c r="Y64" i="31" s="1" a="1"/>
  <c r="Y64" i="31" s="1"/>
  <c r="AA64" i="31" s="1"/>
  <c r="Z252" i="31"/>
  <c r="Z246" i="31" s="1"/>
  <c r="X256" i="31"/>
  <c r="R256" i="31" a="1"/>
  <c r="R256" i="31" s="1"/>
  <c r="Q256" i="31"/>
  <c r="X255" i="31"/>
  <c r="Q255" i="31"/>
  <c r="R255" i="31" a="1"/>
  <c r="R255" i="31" s="1"/>
  <c r="R254" i="31" a="1"/>
  <c r="R254" i="31" s="1"/>
  <c r="Q254" i="31"/>
  <c r="X254" i="31"/>
  <c r="X253" i="31"/>
  <c r="R253" i="31" a="1"/>
  <c r="R253" i="31" s="1"/>
  <c r="Q253" i="31"/>
  <c r="T198" i="31"/>
  <c r="Y198" i="31" s="1" a="1"/>
  <c r="Y198" i="31" s="1"/>
  <c r="AA198" i="31" s="1"/>
  <c r="T201" i="31"/>
  <c r="Y201" i="31" s="1" a="1"/>
  <c r="Y201" i="31" s="1"/>
  <c r="AA201" i="31" s="1"/>
  <c r="G150" i="31" a="1"/>
  <c r="G150" i="31" s="1"/>
  <c r="H150" i="31" a="1"/>
  <c r="H150" i="31" s="1"/>
  <c r="L150" i="31" a="1"/>
  <c r="L150" i="31" s="1"/>
  <c r="P150" i="31" s="1"/>
  <c r="M150" i="31" a="1"/>
  <c r="M150" i="31" s="1"/>
  <c r="K150" i="31" s="1"/>
  <c r="Z150" i="31" s="1" a="1"/>
  <c r="Z150" i="31" s="1"/>
  <c r="R158" i="31" a="1"/>
  <c r="R158" i="31" s="1"/>
  <c r="T158" i="31" s="1"/>
  <c r="Y158" i="31" s="1" a="1"/>
  <c r="Y158" i="31" s="1"/>
  <c r="AA158" i="31" s="1"/>
  <c r="R175" i="31" a="1"/>
  <c r="R175" i="31" s="1"/>
  <c r="T175" i="31" s="1"/>
  <c r="Y175" i="31" s="1" a="1"/>
  <c r="Y175" i="31" s="1"/>
  <c r="AA175" i="31" s="1"/>
  <c r="T149" i="31"/>
  <c r="Y149" i="31" s="1" a="1"/>
  <c r="Y149" i="31" s="1"/>
  <c r="AA149" i="31" s="1"/>
  <c r="R140" i="31" a="1"/>
  <c r="R140" i="31" s="1"/>
  <c r="T140" i="31" s="1"/>
  <c r="Y140" i="31" s="1" a="1"/>
  <c r="Y140" i="31" s="1"/>
  <c r="AA140" i="31" s="1"/>
  <c r="X126" i="31"/>
  <c r="W126" i="31"/>
  <c r="Q126" i="31"/>
  <c r="P126" i="31"/>
  <c r="R92" i="31" a="1"/>
  <c r="R92" i="31" s="1"/>
  <c r="T92" i="31" s="1"/>
  <c r="Y92" i="31" s="1" a="1"/>
  <c r="Y92" i="31" s="1"/>
  <c r="AA92" i="31" s="1"/>
  <c r="O126" i="31" a="1"/>
  <c r="O126" i="31" s="1"/>
  <c r="S126" i="31" a="1"/>
  <c r="S126" i="31" s="1"/>
  <c r="U126" i="31" a="1"/>
  <c r="U126" i="31" s="1"/>
  <c r="V126" i="31" a="1"/>
  <c r="V126" i="31" s="1"/>
  <c r="P117" i="31"/>
  <c r="Q117" i="31"/>
  <c r="W117" i="31"/>
  <c r="X117" i="31"/>
  <c r="V117" i="31" a="1"/>
  <c r="V117" i="31" s="1"/>
  <c r="U117" i="31" a="1"/>
  <c r="U117" i="31" s="1"/>
  <c r="Z117" i="31" a="1"/>
  <c r="Z117" i="31" s="1"/>
  <c r="O117" i="31" a="1"/>
  <c r="O117" i="31" s="1"/>
  <c r="R117" i="31" s="1" a="1"/>
  <c r="R117" i="31" s="1"/>
  <c r="R112" i="31" a="1"/>
  <c r="R112" i="31" s="1"/>
  <c r="T112" i="31" s="1"/>
  <c r="Y112" i="31" s="1" a="1"/>
  <c r="Y112" i="31" s="1"/>
  <c r="AA112" i="31" s="1"/>
  <c r="O59" i="31" a="1"/>
  <c r="O59" i="31" s="1"/>
  <c r="Z59" i="31" a="1"/>
  <c r="Z59" i="31" s="1"/>
  <c r="S59" i="31" a="1"/>
  <c r="S59" i="31" s="1"/>
  <c r="U59" i="31" a="1"/>
  <c r="U59" i="31" s="1"/>
  <c r="V59" i="31" a="1"/>
  <c r="V59" i="31" s="1"/>
  <c r="T47" i="31"/>
  <c r="Y47" i="31" s="1" a="1"/>
  <c r="Y47" i="31" s="1"/>
  <c r="AA47" i="31" s="1"/>
  <c r="S271" i="31"/>
  <c r="U252" i="31"/>
  <c r="U246" i="31" s="1"/>
  <c r="H18" i="32" s="1"/>
  <c r="B114" i="49" s="1"/>
  <c r="Y36" i="31" a="1"/>
  <c r="Y36" i="31" s="1"/>
  <c r="AA36" i="31" s="1"/>
  <c r="AA247" i="31"/>
  <c r="O252" i="31"/>
  <c r="O246" i="31" s="1"/>
  <c r="S252" i="31"/>
  <c r="S246" i="31" s="1"/>
  <c r="G54" i="32" s="1"/>
  <c r="V252" i="31"/>
  <c r="V246" i="31" s="1"/>
  <c r="R272" i="31"/>
  <c r="R271" i="31" s="1"/>
  <c r="T273" i="31"/>
  <c r="W21" i="31"/>
  <c r="L226" i="31" a="1"/>
  <c r="L226" i="31" s="1"/>
  <c r="I226" i="31" a="1"/>
  <c r="I226" i="31" s="1"/>
  <c r="H226" i="31" a="1"/>
  <c r="H226" i="31" s="1"/>
  <c r="G226" i="31" a="1"/>
  <c r="G226" i="31" s="1"/>
  <c r="M226" i="31" a="1"/>
  <c r="M226" i="31" s="1"/>
  <c r="T106" i="31"/>
  <c r="M14" i="7"/>
  <c r="O14" i="7"/>
  <c r="N14" i="7"/>
  <c r="T20" i="31"/>
  <c r="R37" i="31" a="1"/>
  <c r="R37" i="31" s="1"/>
  <c r="C44" i="32"/>
  <c r="Q21" i="31"/>
  <c r="P21" i="31"/>
  <c r="L60" i="31" a="1"/>
  <c r="L60" i="31" s="1"/>
  <c r="R21" i="31" a="1"/>
  <c r="R21" i="31" s="1"/>
  <c r="J21" i="31"/>
  <c r="F117" i="31"/>
  <c r="L217" i="31" a="1"/>
  <c r="L217" i="31" s="1"/>
  <c r="M217" i="31" a="1"/>
  <c r="M217" i="31" s="1"/>
  <c r="K217" i="31" s="1"/>
  <c r="V217" i="31" s="1" a="1"/>
  <c r="V217" i="31" s="1"/>
  <c r="I217" i="31" a="1"/>
  <c r="I217" i="31" s="1"/>
  <c r="J217" i="31" s="1"/>
  <c r="H217" i="31" a="1"/>
  <c r="H217" i="31" s="1"/>
  <c r="G217" i="31" a="1"/>
  <c r="G217" i="31" s="1"/>
  <c r="L203" i="31" a="1"/>
  <c r="L203" i="31" s="1"/>
  <c r="G203" i="31" a="1"/>
  <c r="G203" i="31" s="1"/>
  <c r="H203" i="31" a="1"/>
  <c r="H203" i="31" s="1"/>
  <c r="I203" i="31" a="1"/>
  <c r="I203" i="31" s="1"/>
  <c r="J203" i="31" s="1"/>
  <c r="M203" i="31" a="1"/>
  <c r="M203" i="31" s="1"/>
  <c r="K203" i="31" s="1"/>
  <c r="Z203" i="31" s="1" a="1"/>
  <c r="Z203" i="31" s="1"/>
  <c r="I189" i="31" a="1"/>
  <c r="I189" i="31" s="1"/>
  <c r="J189" i="31" s="1"/>
  <c r="L189" i="31" a="1"/>
  <c r="L189" i="31" s="1"/>
  <c r="G189" i="31" a="1"/>
  <c r="G189" i="31" s="1"/>
  <c r="H189" i="31" a="1"/>
  <c r="H189" i="31" s="1"/>
  <c r="M189" i="31" a="1"/>
  <c r="M189" i="31" s="1"/>
  <c r="K189" i="31" s="1"/>
  <c r="U189" i="31" s="1" a="1"/>
  <c r="U189" i="31" s="1"/>
  <c r="I176" i="31" a="1"/>
  <c r="I176" i="31" s="1"/>
  <c r="J176" i="31" s="1"/>
  <c r="H176" i="31" a="1"/>
  <c r="H176" i="31" s="1"/>
  <c r="L176" i="31" a="1"/>
  <c r="L176" i="31" s="1"/>
  <c r="G176" i="31" a="1"/>
  <c r="G176" i="31" s="1"/>
  <c r="I159" i="31" a="1"/>
  <c r="I159" i="31" s="1"/>
  <c r="J159" i="31" s="1"/>
  <c r="M159" i="31" a="1"/>
  <c r="M159" i="31" s="1"/>
  <c r="K159" i="31" s="1"/>
  <c r="Z159" i="31" s="1" a="1"/>
  <c r="Z159" i="31" s="1"/>
  <c r="L159" i="31" a="1"/>
  <c r="L159" i="31" s="1"/>
  <c r="H159" i="31" a="1"/>
  <c r="H159" i="31" s="1"/>
  <c r="G159" i="31" a="1"/>
  <c r="G159" i="31" s="1"/>
  <c r="F150" i="31"/>
  <c r="I141" i="31" a="1"/>
  <c r="I141" i="31" s="1"/>
  <c r="J141" i="31" s="1"/>
  <c r="M141" i="31" a="1"/>
  <c r="M141" i="31" s="1"/>
  <c r="K141" i="31" s="1"/>
  <c r="O141" i="31" s="1" a="1"/>
  <c r="O141" i="31" s="1"/>
  <c r="L141" i="31" a="1"/>
  <c r="L141" i="31" s="1"/>
  <c r="G141" i="31" a="1"/>
  <c r="G141" i="31" s="1"/>
  <c r="H141" i="31" a="1"/>
  <c r="H141" i="31" s="1"/>
  <c r="F126" i="31"/>
  <c r="I102" i="31" a="1"/>
  <c r="I102" i="31" s="1"/>
  <c r="J102" i="31" s="1"/>
  <c r="G102" i="31" a="1"/>
  <c r="G102" i="31" s="1"/>
  <c r="L102" i="31" a="1"/>
  <c r="L102" i="31" s="1"/>
  <c r="H102" i="31" a="1"/>
  <c r="H102" i="31" s="1"/>
  <c r="I93" i="31" a="1"/>
  <c r="I93" i="31" s="1"/>
  <c r="J93" i="31" s="1"/>
  <c r="H93" i="31" a="1"/>
  <c r="H93" i="31" s="1"/>
  <c r="M93" i="31" a="1"/>
  <c r="M93" i="31" s="1"/>
  <c r="K93" i="31" s="1"/>
  <c r="S93" i="31" s="1" a="1"/>
  <c r="S93" i="31" s="1"/>
  <c r="L93" i="31" a="1"/>
  <c r="L93" i="31" s="1"/>
  <c r="G93" i="31" a="1"/>
  <c r="G93" i="31" s="1"/>
  <c r="I68" i="31" a="1"/>
  <c r="I68" i="31" s="1"/>
  <c r="J68" i="31" s="1"/>
  <c r="H68" i="31" a="1"/>
  <c r="H68" i="31" s="1"/>
  <c r="L68" i="31" a="1"/>
  <c r="L68" i="31" s="1"/>
  <c r="G68" i="31" a="1"/>
  <c r="G68" i="31" s="1"/>
  <c r="G60" i="31" a="1"/>
  <c r="G60" i="31" s="1"/>
  <c r="H60" i="31" a="1"/>
  <c r="H60" i="31" s="1"/>
  <c r="I60" i="31" a="1"/>
  <c r="I60" i="31" s="1"/>
  <c r="M60" i="31" a="1"/>
  <c r="M60" i="31" s="1"/>
  <c r="K60" i="31" s="1"/>
  <c r="O60" i="31" s="1" a="1"/>
  <c r="O60" i="31" s="1"/>
  <c r="G48" i="31" a="1"/>
  <c r="G48" i="31" s="1"/>
  <c r="H48" i="31" a="1"/>
  <c r="H48" i="31" s="1"/>
  <c r="I48" i="31" a="1"/>
  <c r="I48" i="31" s="1"/>
  <c r="J48" i="31" s="1"/>
  <c r="L48" i="31" a="1"/>
  <c r="L48" i="31" s="1"/>
  <c r="G38" i="31" a="1"/>
  <c r="G38" i="31" s="1"/>
  <c r="H38" i="31" a="1"/>
  <c r="H38" i="31" s="1"/>
  <c r="I38" i="31" a="1"/>
  <c r="I38" i="31" s="1"/>
  <c r="J38" i="31" s="1"/>
  <c r="M38" i="31" a="1"/>
  <c r="M38" i="31" s="1"/>
  <c r="K38" i="31" s="1"/>
  <c r="L38" i="31" a="1"/>
  <c r="L38" i="31" s="1"/>
  <c r="F21" i="31"/>
  <c r="T72" i="31" l="1"/>
  <c r="Y72" i="31" s="1" a="1"/>
  <c r="Y72" i="31" s="1"/>
  <c r="AA72" i="31" s="1"/>
  <c r="R71" i="31"/>
  <c r="E33" i="51"/>
  <c r="N91" i="51" s="1"/>
  <c r="N103" i="51" s="1"/>
  <c r="N104" i="51" s="1"/>
  <c r="N99" i="51"/>
  <c r="I79" i="51"/>
  <c r="H99" i="51"/>
  <c r="I99" i="51"/>
  <c r="L79" i="51"/>
  <c r="P99" i="51"/>
  <c r="H79" i="51"/>
  <c r="J99" i="51"/>
  <c r="Q99" i="51"/>
  <c r="O79" i="51"/>
  <c r="K99" i="51"/>
  <c r="G99" i="51"/>
  <c r="Q79" i="51"/>
  <c r="P79" i="51"/>
  <c r="M99" i="51"/>
  <c r="J79" i="51"/>
  <c r="F79" i="51"/>
  <c r="L99" i="51"/>
  <c r="K79" i="51"/>
  <c r="O99" i="51"/>
  <c r="M79" i="51"/>
  <c r="F99" i="51"/>
  <c r="N79" i="51"/>
  <c r="G79" i="51"/>
  <c r="M97" i="51"/>
  <c r="I77" i="51"/>
  <c r="F97" i="51"/>
  <c r="P97" i="51"/>
  <c r="N77" i="51"/>
  <c r="I97" i="51"/>
  <c r="H97" i="51"/>
  <c r="O97" i="51"/>
  <c r="O77" i="51"/>
  <c r="G77" i="51"/>
  <c r="L77" i="51"/>
  <c r="L97" i="51"/>
  <c r="Q97" i="51"/>
  <c r="Q77" i="51"/>
  <c r="J97" i="51"/>
  <c r="J77" i="51"/>
  <c r="K77" i="51"/>
  <c r="P77" i="51"/>
  <c r="N97" i="51"/>
  <c r="F77" i="51"/>
  <c r="M77" i="51"/>
  <c r="G97" i="51"/>
  <c r="H77" i="51"/>
  <c r="K97" i="51"/>
  <c r="M98" i="51"/>
  <c r="J78" i="51"/>
  <c r="O78" i="51"/>
  <c r="K78" i="51"/>
  <c r="O98" i="51"/>
  <c r="P98" i="51"/>
  <c r="G78" i="51"/>
  <c r="H98" i="51"/>
  <c r="P78" i="51"/>
  <c r="J98" i="51"/>
  <c r="L78" i="51"/>
  <c r="H78" i="51"/>
  <c r="I98" i="51"/>
  <c r="F98" i="51"/>
  <c r="F78" i="51"/>
  <c r="I78" i="51"/>
  <c r="N98" i="51"/>
  <c r="G98" i="51"/>
  <c r="N78" i="51"/>
  <c r="M78" i="51"/>
  <c r="Q98" i="51"/>
  <c r="K98" i="51"/>
  <c r="L98" i="51"/>
  <c r="Q78" i="51"/>
  <c r="T256" i="31"/>
  <c r="Y256" i="31" s="1" a="1"/>
  <c r="Y256" i="31" s="1"/>
  <c r="AA256" i="31" s="1"/>
  <c r="T253" i="31"/>
  <c r="Y253" i="31" s="1" a="1"/>
  <c r="Y253" i="31" s="1"/>
  <c r="AA253" i="31" s="1"/>
  <c r="T254" i="31"/>
  <c r="Y254" i="31" s="1" a="1"/>
  <c r="Y254" i="31" s="1"/>
  <c r="AA254" i="31" s="1"/>
  <c r="X252" i="31"/>
  <c r="X246" i="31" s="1"/>
  <c r="T255" i="31"/>
  <c r="Y255" i="31" s="1" a="1"/>
  <c r="Y255" i="31" s="1"/>
  <c r="AA255" i="31" s="1"/>
  <c r="V150" i="31" a="1"/>
  <c r="V150" i="31" s="1"/>
  <c r="O150" i="31" a="1"/>
  <c r="O150" i="31" s="1"/>
  <c r="X150" i="31"/>
  <c r="Q150" i="31"/>
  <c r="W226" i="31"/>
  <c r="P226" i="31"/>
  <c r="Z217" i="31" a="1"/>
  <c r="Z217" i="31" s="1"/>
  <c r="X217" i="31"/>
  <c r="Q217" i="31"/>
  <c r="P217" i="31"/>
  <c r="W217" i="31"/>
  <c r="S217" i="31" a="1"/>
  <c r="S217" i="31" s="1"/>
  <c r="U217" i="31" a="1"/>
  <c r="U217" i="31" s="1"/>
  <c r="O217" i="31" a="1"/>
  <c r="O217" i="31" s="1"/>
  <c r="S189" i="31" a="1"/>
  <c r="S189" i="31" s="1"/>
  <c r="O203" i="31" a="1"/>
  <c r="O203" i="31" s="1"/>
  <c r="S150" i="31" a="1"/>
  <c r="S150" i="31" s="1"/>
  <c r="S203" i="31" a="1"/>
  <c r="S203" i="31" s="1"/>
  <c r="X203" i="31"/>
  <c r="W203" i="31"/>
  <c r="Q203" i="31"/>
  <c r="P203" i="31"/>
  <c r="U150" i="31" a="1"/>
  <c r="U150" i="31" s="1"/>
  <c r="U203" i="31" a="1"/>
  <c r="U203" i="31" s="1"/>
  <c r="W150" i="31"/>
  <c r="V203" i="31" a="1"/>
  <c r="V203" i="31" s="1"/>
  <c r="V189" i="31" a="1"/>
  <c r="V189" i="31" s="1"/>
  <c r="O189" i="31" a="1"/>
  <c r="O189" i="31" s="1"/>
  <c r="Q189" i="31"/>
  <c r="W189" i="31"/>
  <c r="P189" i="31"/>
  <c r="X189" i="31"/>
  <c r="Z189" i="31" a="1"/>
  <c r="Z189" i="31" s="1"/>
  <c r="X176" i="31"/>
  <c r="W176" i="31"/>
  <c r="Q176" i="31"/>
  <c r="P176" i="31"/>
  <c r="V159" i="31" a="1"/>
  <c r="V159" i="31" s="1"/>
  <c r="O159" i="31" a="1"/>
  <c r="O159" i="31" s="1"/>
  <c r="X159" i="31"/>
  <c r="P159" i="31"/>
  <c r="W159" i="31"/>
  <c r="Q159" i="31"/>
  <c r="U159" i="31" a="1"/>
  <c r="U159" i="31" s="1"/>
  <c r="S159" i="31" a="1"/>
  <c r="S159" i="31" s="1"/>
  <c r="Z141" i="31" a="1"/>
  <c r="Z141" i="31" s="1"/>
  <c r="V141" i="31" a="1"/>
  <c r="V141" i="31" s="1"/>
  <c r="S141" i="31" a="1"/>
  <c r="S141" i="31" s="1"/>
  <c r="R141" i="31" s="1" a="1"/>
  <c r="R141" i="31" s="1"/>
  <c r="U141" i="31" a="1"/>
  <c r="U141" i="31" s="1"/>
  <c r="Q141" i="31"/>
  <c r="P141" i="31"/>
  <c r="X141" i="31"/>
  <c r="W141" i="31"/>
  <c r="R126" i="31" a="1"/>
  <c r="R126" i="31" s="1"/>
  <c r="T126" i="31" s="1"/>
  <c r="Y126" i="31" s="1" a="1"/>
  <c r="Y126" i="31" s="1"/>
  <c r="AA126" i="31" s="1"/>
  <c r="T117" i="31"/>
  <c r="Y117" i="31" s="1" a="1"/>
  <c r="Y117" i="31" s="1"/>
  <c r="AA117" i="31" s="1"/>
  <c r="W102" i="31"/>
  <c r="P102" i="31"/>
  <c r="U93" i="31" a="1"/>
  <c r="U93" i="31" s="1"/>
  <c r="Z93" i="31" a="1"/>
  <c r="Z93" i="31" s="1"/>
  <c r="V93" i="31" a="1"/>
  <c r="V93" i="31" s="1"/>
  <c r="W93" i="31"/>
  <c r="Q93" i="31"/>
  <c r="P93" i="31"/>
  <c r="X93" i="31"/>
  <c r="O93" i="31" a="1"/>
  <c r="O93" i="31" s="1"/>
  <c r="R93" i="31" s="1" a="1"/>
  <c r="R93" i="31" s="1"/>
  <c r="Z60" i="31" a="1"/>
  <c r="Z60" i="31" s="1"/>
  <c r="S60" i="31" a="1"/>
  <c r="S60" i="31" s="1"/>
  <c r="R60" i="31" s="1" a="1"/>
  <c r="R60" i="31" s="1"/>
  <c r="W68" i="31"/>
  <c r="P68" i="31"/>
  <c r="P60" i="31"/>
  <c r="Q60" i="31"/>
  <c r="W60" i="31"/>
  <c r="X60" i="31"/>
  <c r="X54" i="31" s="1"/>
  <c r="X53" i="31" s="1"/>
  <c r="V60" i="31" a="1"/>
  <c r="V60" i="31" s="1"/>
  <c r="U60" i="31" a="1"/>
  <c r="U60" i="31" s="1"/>
  <c r="R59" i="31" a="1"/>
  <c r="R59" i="31" s="1"/>
  <c r="T59" i="31" s="1"/>
  <c r="Y59" i="31" s="1" a="1"/>
  <c r="Y59" i="31" s="1"/>
  <c r="AA59" i="31" s="1"/>
  <c r="Q48" i="31"/>
  <c r="P48" i="31"/>
  <c r="W48" i="31"/>
  <c r="X48" i="31"/>
  <c r="P38" i="31"/>
  <c r="W38" i="31"/>
  <c r="X38" i="31"/>
  <c r="Q38" i="31"/>
  <c r="AA234" i="31"/>
  <c r="R252" i="31"/>
  <c r="R246" i="31" s="1"/>
  <c r="F54" i="32" s="1"/>
  <c r="AA106" i="31"/>
  <c r="AA76" i="31"/>
  <c r="AA75" i="31" s="1"/>
  <c r="Y106" i="31"/>
  <c r="Y76" i="31"/>
  <c r="Y75" i="31" s="1"/>
  <c r="N29" i="30"/>
  <c r="O29" i="30" s="1"/>
  <c r="Y234" i="31"/>
  <c r="Y20" i="31" a="1"/>
  <c r="Y20" i="31" s="1"/>
  <c r="AA20" i="31" s="1"/>
  <c r="Q252" i="31"/>
  <c r="Q246" i="31" s="1"/>
  <c r="E54" i="32" s="1"/>
  <c r="T272" i="31"/>
  <c r="N73" i="30" s="1"/>
  <c r="O73" i="30" s="1"/>
  <c r="Y273" i="31" a="1"/>
  <c r="Y273" i="31" s="1"/>
  <c r="K226" i="31"/>
  <c r="W119" i="31"/>
  <c r="S14" i="7"/>
  <c r="J226" i="31"/>
  <c r="F226" i="31"/>
  <c r="T37" i="31"/>
  <c r="P119" i="31"/>
  <c r="C54" i="32"/>
  <c r="T21" i="31"/>
  <c r="H118" i="31" a="1"/>
  <c r="H118" i="31" s="1"/>
  <c r="J60" i="31"/>
  <c r="M22" i="31" a="1"/>
  <c r="M22" i="31" s="1"/>
  <c r="K22" i="31" s="1"/>
  <c r="Z22" i="31" s="1" a="1"/>
  <c r="Z22" i="31" s="1"/>
  <c r="L22" i="31" a="1"/>
  <c r="L22" i="31" s="1"/>
  <c r="X22" i="31" s="1"/>
  <c r="I118" i="31" a="1"/>
  <c r="I118" i="31" s="1"/>
  <c r="J118" i="31" s="1"/>
  <c r="L118" i="31" a="1"/>
  <c r="L118" i="31" s="1"/>
  <c r="M118" i="31" a="1"/>
  <c r="M118" i="31" s="1"/>
  <c r="K118" i="31" s="1"/>
  <c r="S118" i="31" s="1" a="1"/>
  <c r="S118" i="31" s="1"/>
  <c r="G118" i="31" a="1"/>
  <c r="G118" i="31" s="1"/>
  <c r="G22" i="31" a="1"/>
  <c r="G22" i="31" s="1"/>
  <c r="H22" i="31" a="1"/>
  <c r="H22" i="31" s="1"/>
  <c r="I22" i="31" a="1"/>
  <c r="I22" i="31" s="1"/>
  <c r="F217" i="31"/>
  <c r="F203" i="31"/>
  <c r="F189" i="31"/>
  <c r="F176" i="31"/>
  <c r="F159" i="31"/>
  <c r="I151" i="31" a="1"/>
  <c r="I151" i="31" s="1"/>
  <c r="J151" i="31" s="1"/>
  <c r="L151" i="31" a="1"/>
  <c r="L151" i="31" s="1"/>
  <c r="G151" i="31" a="1"/>
  <c r="G151" i="31" s="1"/>
  <c r="H151" i="31" a="1"/>
  <c r="H151" i="31" s="1"/>
  <c r="M151" i="31" a="1"/>
  <c r="M151" i="31" s="1"/>
  <c r="K151" i="31" s="1"/>
  <c r="Z151" i="31" s="1" a="1"/>
  <c r="Z151" i="31" s="1"/>
  <c r="F141" i="31"/>
  <c r="M127" i="31" a="1"/>
  <c r="M127" i="31" s="1"/>
  <c r="K127" i="31" s="1"/>
  <c r="Z127" i="31" s="1" a="1"/>
  <c r="Z127" i="31" s="1"/>
  <c r="L127" i="31" a="1"/>
  <c r="L127" i="31" s="1"/>
  <c r="I127" i="31" a="1"/>
  <c r="I127" i="31" s="1"/>
  <c r="J127" i="31" s="1"/>
  <c r="G127" i="31" a="1"/>
  <c r="G127" i="31" s="1"/>
  <c r="H127" i="31" a="1"/>
  <c r="H127" i="31" s="1"/>
  <c r="F102" i="31"/>
  <c r="F93" i="31"/>
  <c r="F68" i="31"/>
  <c r="F60" i="31"/>
  <c r="F48" i="31"/>
  <c r="F38" i="31"/>
  <c r="F7" i="30"/>
  <c r="E8" i="31" s="1"/>
  <c r="F8" i="31" s="1"/>
  <c r="M9" i="31" s="1" a="1"/>
  <c r="M9" i="31" s="1"/>
  <c r="K9" i="31" s="1"/>
  <c r="O181" i="8"/>
  <c r="H74" i="8"/>
  <c r="H72" i="8"/>
  <c r="H71" i="8"/>
  <c r="H70" i="8"/>
  <c r="H69" i="8"/>
  <c r="T71" i="31" l="1"/>
  <c r="N21" i="30" s="1"/>
  <c r="O21" i="30" s="1"/>
  <c r="L91" i="51"/>
  <c r="L103" i="51" s="1"/>
  <c r="L104" i="51" s="1"/>
  <c r="Q83" i="51"/>
  <c r="Q86" i="51" s="1"/>
  <c r="J100" i="51"/>
  <c r="J101" i="51" s="1"/>
  <c r="K83" i="51"/>
  <c r="K89" i="51" s="1"/>
  <c r="J83" i="51"/>
  <c r="J89" i="51" s="1"/>
  <c r="L83" i="51"/>
  <c r="L89" i="51" s="1"/>
  <c r="F83" i="51"/>
  <c r="F86" i="51" s="1"/>
  <c r="P83" i="51"/>
  <c r="P89" i="51" s="1"/>
  <c r="N83" i="51"/>
  <c r="N86" i="51" s="1"/>
  <c r="G83" i="51"/>
  <c r="G86" i="51" s="1"/>
  <c r="I91" i="51"/>
  <c r="I103" i="51" s="1"/>
  <c r="I104" i="51" s="1"/>
  <c r="K91" i="51"/>
  <c r="K103" i="51" s="1"/>
  <c r="K104" i="51" s="1"/>
  <c r="F91" i="51"/>
  <c r="F103" i="51" s="1"/>
  <c r="F104" i="51" s="1"/>
  <c r="M100" i="51"/>
  <c r="M101" i="51" s="1"/>
  <c r="K100" i="51"/>
  <c r="K101" i="51" s="1"/>
  <c r="L70" i="8"/>
  <c r="K70" i="8"/>
  <c r="L69" i="8"/>
  <c r="K69" i="8"/>
  <c r="K74" i="8"/>
  <c r="L74" i="8"/>
  <c r="K71" i="8"/>
  <c r="L71" i="8"/>
  <c r="K72" i="8"/>
  <c r="L72" i="8"/>
  <c r="O100" i="51"/>
  <c r="O101" i="51" s="1"/>
  <c r="L100" i="51"/>
  <c r="L101" i="51" s="1"/>
  <c r="H100" i="51"/>
  <c r="H101" i="51" s="1"/>
  <c r="I100" i="51"/>
  <c r="I101" i="51" s="1"/>
  <c r="P91" i="51"/>
  <c r="P103" i="51" s="1"/>
  <c r="P104" i="51" s="1"/>
  <c r="Q100" i="51"/>
  <c r="Q101" i="51" s="1"/>
  <c r="H91" i="51"/>
  <c r="H103" i="51" s="1"/>
  <c r="H104" i="51" s="1"/>
  <c r="F100" i="51"/>
  <c r="F101" i="51" s="1"/>
  <c r="G100" i="51"/>
  <c r="G101" i="51" s="1"/>
  <c r="P100" i="51"/>
  <c r="P101" i="51" s="1"/>
  <c r="J91" i="51"/>
  <c r="J103" i="51" s="1"/>
  <c r="J104" i="51" s="1"/>
  <c r="G91" i="51"/>
  <c r="G103" i="51" s="1"/>
  <c r="G104" i="51" s="1"/>
  <c r="N100" i="51"/>
  <c r="N101" i="51" s="1"/>
  <c r="M83" i="51"/>
  <c r="M89" i="51" s="1"/>
  <c r="O91" i="51"/>
  <c r="O103" i="51" s="1"/>
  <c r="O104" i="51" s="1"/>
  <c r="I83" i="51"/>
  <c r="I86" i="51" s="1"/>
  <c r="O83" i="51"/>
  <c r="O89" i="51" s="1"/>
  <c r="Q91" i="51"/>
  <c r="Q103" i="51" s="1"/>
  <c r="Q104" i="51" s="1"/>
  <c r="H83" i="51"/>
  <c r="M91" i="51"/>
  <c r="M103" i="51" s="1"/>
  <c r="M104" i="51" s="1"/>
  <c r="Z9" i="31" a="1"/>
  <c r="Z9" i="31" s="1"/>
  <c r="Z8" i="31" s="1"/>
  <c r="Z4" i="31" s="1"/>
  <c r="V9" i="31" a="1"/>
  <c r="V9" i="31" s="1"/>
  <c r="V8" i="31" s="1"/>
  <c r="V4" i="31" s="1"/>
  <c r="O9" i="31" a="1"/>
  <c r="O9" i="31" s="1"/>
  <c r="S9" i="31" a="1"/>
  <c r="S9" i="31" s="1"/>
  <c r="R189" i="31" a="1"/>
  <c r="R189" i="31" s="1"/>
  <c r="T189" i="31" s="1"/>
  <c r="Y189" i="31" s="1" a="1"/>
  <c r="Y189" i="31" s="1"/>
  <c r="AA189" i="31" s="1"/>
  <c r="R150" i="31" a="1"/>
  <c r="R150" i="31" s="1"/>
  <c r="T150" i="31" s="1"/>
  <c r="Y150" i="31" s="1" a="1"/>
  <c r="Y150" i="31" s="1"/>
  <c r="AA150" i="31" s="1"/>
  <c r="S226" i="31" a="1"/>
  <c r="S226" i="31" s="1"/>
  <c r="O226" i="31" a="1"/>
  <c r="O226" i="31" s="1"/>
  <c r="U226" i="31" a="1"/>
  <c r="U226" i="31" s="1"/>
  <c r="Z226" i="31" a="1"/>
  <c r="Z226" i="31" s="1"/>
  <c r="V226" i="31" a="1"/>
  <c r="V226" i="31" s="1"/>
  <c r="R217" i="31" a="1"/>
  <c r="R217" i="31" s="1"/>
  <c r="T217" i="31" s="1"/>
  <c r="Y217" i="31" s="1" a="1"/>
  <c r="Y217" i="31" s="1"/>
  <c r="AA217" i="31" s="1"/>
  <c r="R203" i="31" a="1"/>
  <c r="R203" i="31" s="1"/>
  <c r="T203" i="31" s="1"/>
  <c r="Y203" i="31" s="1" a="1"/>
  <c r="Y203" i="31" s="1"/>
  <c r="AA203" i="31" s="1"/>
  <c r="R159" i="31" a="1"/>
  <c r="R159" i="31" s="1"/>
  <c r="T159" i="31" s="1"/>
  <c r="Y159" i="31" s="1" a="1"/>
  <c r="Y159" i="31" s="1"/>
  <c r="AA159" i="31" s="1"/>
  <c r="O151" i="31" a="1"/>
  <c r="O151" i="31" s="1"/>
  <c r="X151" i="31"/>
  <c r="W151" i="31"/>
  <c r="Q151" i="31"/>
  <c r="P151" i="31"/>
  <c r="S151" i="31" a="1"/>
  <c r="S151" i="31" s="1"/>
  <c r="U151" i="31" a="1"/>
  <c r="U151" i="31" s="1"/>
  <c r="V151" i="31" a="1"/>
  <c r="V151" i="31" s="1"/>
  <c r="T141" i="31"/>
  <c r="Y141" i="31" s="1" a="1"/>
  <c r="Y141" i="31" s="1"/>
  <c r="AA141" i="31" s="1"/>
  <c r="O127" i="31" a="1"/>
  <c r="O127" i="31" s="1"/>
  <c r="S127" i="31" a="1"/>
  <c r="S127" i="31" s="1"/>
  <c r="U127" i="31" a="1"/>
  <c r="U127" i="31" s="1"/>
  <c r="V127" i="31" a="1"/>
  <c r="V127" i="31" s="1"/>
  <c r="X127" i="31"/>
  <c r="W127" i="31"/>
  <c r="Q127" i="31"/>
  <c r="P127" i="31"/>
  <c r="O118" i="31" a="1"/>
  <c r="O118" i="31" s="1"/>
  <c r="R118" i="31" s="1" a="1"/>
  <c r="R118" i="31" s="1"/>
  <c r="Z118" i="31" a="1"/>
  <c r="Z118" i="31" s="1"/>
  <c r="Z110" i="31" s="1"/>
  <c r="V118" i="31" a="1"/>
  <c r="V118" i="31" s="1"/>
  <c r="V110" i="31" s="1"/>
  <c r="W118" i="31"/>
  <c r="P118" i="31"/>
  <c r="Q118" i="31"/>
  <c r="X118" i="31"/>
  <c r="X110" i="31" s="1"/>
  <c r="U118" i="31" a="1"/>
  <c r="U118" i="31" s="1"/>
  <c r="T93" i="31"/>
  <c r="Y93" i="31" s="1" a="1"/>
  <c r="Y93" i="31" s="1"/>
  <c r="AA93" i="31" s="1"/>
  <c r="T60" i="31"/>
  <c r="Y60" i="31" s="1" a="1"/>
  <c r="Y60" i="31" s="1"/>
  <c r="AA60" i="31" s="1"/>
  <c r="O22" i="31" a="1"/>
  <c r="O22" i="31" s="1"/>
  <c r="S22" i="31" a="1"/>
  <c r="S22" i="31" s="1"/>
  <c r="U22" i="31" a="1"/>
  <c r="U22" i="31" s="1"/>
  <c r="V22" i="31" a="1"/>
  <c r="V22" i="31" s="1"/>
  <c r="T271" i="31"/>
  <c r="D58" i="29" s="1"/>
  <c r="Y37" i="31" a="1"/>
  <c r="Y37" i="31" s="1"/>
  <c r="AA37" i="31" s="1"/>
  <c r="Y21" i="31" a="1"/>
  <c r="Y21" i="31" s="1"/>
  <c r="AA21" i="31" s="1"/>
  <c r="Y272" i="31"/>
  <c r="Y271" i="31" s="1"/>
  <c r="AA273" i="31"/>
  <c r="AA272" i="31" s="1"/>
  <c r="AA271" i="31" s="1"/>
  <c r="X15" i="31"/>
  <c r="X14" i="31" s="1"/>
  <c r="W22" i="31"/>
  <c r="W54" i="31"/>
  <c r="W53" i="31" s="1"/>
  <c r="Y71" i="31"/>
  <c r="AA71" i="31"/>
  <c r="F22" i="31"/>
  <c r="E24" i="31" s="1"/>
  <c r="M227" i="31" a="1"/>
  <c r="M227" i="31" s="1"/>
  <c r="L227" i="31" a="1"/>
  <c r="L227" i="31" s="1"/>
  <c r="I227" i="31" a="1"/>
  <c r="I227" i="31" s="1"/>
  <c r="H227" i="31" a="1"/>
  <c r="H227" i="31" s="1"/>
  <c r="G227" i="31" a="1"/>
  <c r="G227" i="31" s="1"/>
  <c r="P74" i="8"/>
  <c r="Q74" i="8"/>
  <c r="O74" i="8"/>
  <c r="N74" i="8"/>
  <c r="M74" i="8"/>
  <c r="Q71" i="8"/>
  <c r="N71" i="8"/>
  <c r="M71" i="8"/>
  <c r="P71" i="8"/>
  <c r="O71" i="8"/>
  <c r="P70" i="8"/>
  <c r="O70" i="8"/>
  <c r="N70" i="8"/>
  <c r="M70" i="8"/>
  <c r="Q70" i="8"/>
  <c r="P69" i="8"/>
  <c r="O69" i="8"/>
  <c r="Q69" i="8"/>
  <c r="M69" i="8"/>
  <c r="N69" i="8"/>
  <c r="N72" i="8"/>
  <c r="Q72" i="8"/>
  <c r="O72" i="8"/>
  <c r="P72" i="8"/>
  <c r="M72" i="8"/>
  <c r="P54" i="31"/>
  <c r="P53" i="31" s="1"/>
  <c r="D42" i="32" s="1"/>
  <c r="Q22" i="31"/>
  <c r="P22" i="31"/>
  <c r="U8" i="31"/>
  <c r="U4" i="31" s="1"/>
  <c r="H2" i="32" s="1"/>
  <c r="T264" i="31"/>
  <c r="J22" i="31"/>
  <c r="F118" i="31"/>
  <c r="M174" i="31" a="1"/>
  <c r="M174" i="31" s="1"/>
  <c r="K174" i="31" s="1"/>
  <c r="M176" i="31" a="1"/>
  <c r="M176" i="31" s="1"/>
  <c r="K176" i="31" s="1"/>
  <c r="M171" i="31" a="1"/>
  <c r="M171" i="31" s="1"/>
  <c r="K171" i="31" s="1"/>
  <c r="M173" i="31" a="1"/>
  <c r="M173" i="31" s="1"/>
  <c r="K173" i="31" s="1"/>
  <c r="M172" i="31" a="1"/>
  <c r="M172" i="31" s="1"/>
  <c r="K172" i="31" s="1"/>
  <c r="H9" i="31" a="1"/>
  <c r="H9" i="31" s="1"/>
  <c r="I9" i="31" a="1"/>
  <c r="I9" i="31" s="1"/>
  <c r="L218" i="31" a="1"/>
  <c r="L218" i="31" s="1"/>
  <c r="H218" i="31" a="1"/>
  <c r="H218" i="31" s="1"/>
  <c r="G218" i="31" a="1"/>
  <c r="G218" i="31" s="1"/>
  <c r="I218" i="31" a="1"/>
  <c r="I218" i="31" s="1"/>
  <c r="J218" i="31" s="1"/>
  <c r="L204" i="31" a="1"/>
  <c r="L204" i="31" s="1"/>
  <c r="G204" i="31" a="1"/>
  <c r="G204" i="31" s="1"/>
  <c r="H204" i="31" a="1"/>
  <c r="H204" i="31" s="1"/>
  <c r="I204" i="31" a="1"/>
  <c r="I204" i="31" s="1"/>
  <c r="J204" i="31" s="1"/>
  <c r="I190" i="31" a="1"/>
  <c r="I190" i="31" s="1"/>
  <c r="J190" i="31" s="1"/>
  <c r="L190" i="31" a="1"/>
  <c r="L190" i="31" s="1"/>
  <c r="G190" i="31" a="1"/>
  <c r="G190" i="31" s="1"/>
  <c r="H190" i="31" a="1"/>
  <c r="H190" i="31" s="1"/>
  <c r="G177" i="31" a="1"/>
  <c r="G177" i="31" s="1"/>
  <c r="H177" i="31" a="1"/>
  <c r="H177" i="31" s="1"/>
  <c r="I177" i="31" a="1"/>
  <c r="I177" i="31" s="1"/>
  <c r="J177" i="31" s="1"/>
  <c r="M177" i="31" a="1"/>
  <c r="M177" i="31" s="1"/>
  <c r="K177" i="31" s="1"/>
  <c r="V177" i="31" s="1" a="1"/>
  <c r="V177" i="31" s="1"/>
  <c r="L177" i="31" a="1"/>
  <c r="L177" i="31" s="1"/>
  <c r="M160" i="31" a="1"/>
  <c r="M160" i="31" s="1"/>
  <c r="K160" i="31" s="1"/>
  <c r="S160" i="31" s="1" a="1"/>
  <c r="S160" i="31" s="1"/>
  <c r="L160" i="31" a="1"/>
  <c r="L160" i="31" s="1"/>
  <c r="G160" i="31" a="1"/>
  <c r="G160" i="31" s="1"/>
  <c r="H160" i="31" a="1"/>
  <c r="H160" i="31" s="1"/>
  <c r="I160" i="31" a="1"/>
  <c r="I160" i="31" s="1"/>
  <c r="J160" i="31" s="1"/>
  <c r="F151" i="31"/>
  <c r="M142" i="31" a="1"/>
  <c r="M142" i="31" s="1"/>
  <c r="K142" i="31" s="1"/>
  <c r="Z142" i="31" s="1" a="1"/>
  <c r="Z142" i="31" s="1"/>
  <c r="L142" i="31" a="1"/>
  <c r="L142" i="31" s="1"/>
  <c r="G142" i="31" a="1"/>
  <c r="G142" i="31" s="1"/>
  <c r="I142" i="31" a="1"/>
  <c r="I142" i="31" s="1"/>
  <c r="J142" i="31" s="1"/>
  <c r="H142" i="31" a="1"/>
  <c r="H142" i="31" s="1"/>
  <c r="F127" i="31"/>
  <c r="I103" i="31" a="1"/>
  <c r="I103" i="31" s="1"/>
  <c r="J103" i="31" s="1"/>
  <c r="H103" i="31" a="1"/>
  <c r="H103" i="31" s="1"/>
  <c r="L103" i="31" a="1"/>
  <c r="L103" i="31" s="1"/>
  <c r="G103" i="31" a="1"/>
  <c r="G103" i="31" s="1"/>
  <c r="I94" i="31" a="1"/>
  <c r="I94" i="31" s="1"/>
  <c r="J94" i="31" s="1"/>
  <c r="G94" i="31" a="1"/>
  <c r="G94" i="31" s="1"/>
  <c r="H94" i="31" a="1"/>
  <c r="H94" i="31" s="1"/>
  <c r="M94" i="31" a="1"/>
  <c r="M94" i="31" s="1"/>
  <c r="K94" i="31" s="1"/>
  <c r="Z94" i="31" s="1" a="1"/>
  <c r="Z94" i="31" s="1"/>
  <c r="L94" i="31" a="1"/>
  <c r="L94" i="31" s="1"/>
  <c r="I69" i="31" a="1"/>
  <c r="I69" i="31" s="1"/>
  <c r="J69" i="31" s="1"/>
  <c r="M69" i="31" a="1"/>
  <c r="M69" i="31" s="1"/>
  <c r="K69" i="31" s="1"/>
  <c r="G69" i="31" a="1"/>
  <c r="G69" i="31" s="1"/>
  <c r="L69" i="31" a="1"/>
  <c r="L69" i="31" s="1"/>
  <c r="H69" i="31" a="1"/>
  <c r="H69" i="31" s="1"/>
  <c r="G49" i="31" a="1"/>
  <c r="G49" i="31" s="1"/>
  <c r="H49" i="31" a="1"/>
  <c r="H49" i="31" s="1"/>
  <c r="I49" i="31" a="1"/>
  <c r="I49" i="31" s="1"/>
  <c r="J49" i="31" s="1"/>
  <c r="L49" i="31" a="1"/>
  <c r="L49" i="31" s="1"/>
  <c r="G39" i="31" a="1"/>
  <c r="G39" i="31" s="1"/>
  <c r="H39" i="31" a="1"/>
  <c r="H39" i="31" s="1"/>
  <c r="I39" i="31" a="1"/>
  <c r="I39" i="31" s="1"/>
  <c r="J39" i="31" s="1"/>
  <c r="L39" i="31" a="1"/>
  <c r="L39" i="31" s="1"/>
  <c r="M39" i="31" a="1"/>
  <c r="M39" i="31" s="1"/>
  <c r="O16" i="8"/>
  <c r="O20" i="8"/>
  <c r="S36" i="10"/>
  <c r="T36" i="10"/>
  <c r="L86" i="51" l="1"/>
  <c r="L90" i="51" s="1"/>
  <c r="L102" i="51" s="1"/>
  <c r="L105" i="51" s="1"/>
  <c r="L106" i="51" s="1"/>
  <c r="L107" i="51" s="1"/>
  <c r="J86" i="51"/>
  <c r="J90" i="51" s="1"/>
  <c r="K86" i="51"/>
  <c r="K90" i="51" s="1"/>
  <c r="K102" i="51" s="1"/>
  <c r="K105" i="51" s="1"/>
  <c r="K106" i="51" s="1"/>
  <c r="K107" i="51" s="1"/>
  <c r="P86" i="51"/>
  <c r="P90" i="51" s="1"/>
  <c r="P102" i="51" s="1"/>
  <c r="P105" i="51" s="1"/>
  <c r="P106" i="51" s="1"/>
  <c r="P107" i="51" s="1"/>
  <c r="N89" i="51"/>
  <c r="N90" i="51" s="1"/>
  <c r="N102" i="51" s="1"/>
  <c r="N105" i="51" s="1"/>
  <c r="N106" i="51" s="1"/>
  <c r="N107" i="51" s="1"/>
  <c r="Q89" i="51"/>
  <c r="Q90" i="51" s="1"/>
  <c r="G89" i="51"/>
  <c r="G90" i="51" s="1"/>
  <c r="G102" i="51" s="1"/>
  <c r="G105" i="51" s="1"/>
  <c r="G106" i="51" s="1"/>
  <c r="G107" i="51" s="1"/>
  <c r="F89" i="51"/>
  <c r="F90" i="51" s="1"/>
  <c r="M86" i="51"/>
  <c r="M90" i="51" s="1"/>
  <c r="M102" i="51" s="1"/>
  <c r="M105" i="51" s="1"/>
  <c r="M106" i="51" s="1"/>
  <c r="M107" i="51" s="1"/>
  <c r="K75" i="8"/>
  <c r="L75" i="8"/>
  <c r="O86" i="51"/>
  <c r="O90" i="51" s="1"/>
  <c r="O102" i="51" s="1"/>
  <c r="O105" i="51" s="1"/>
  <c r="O106" i="51" s="1"/>
  <c r="O107" i="51" s="1"/>
  <c r="H89" i="51"/>
  <c r="H86" i="51"/>
  <c r="I89" i="51"/>
  <c r="I90" i="51" s="1"/>
  <c r="R226" i="31" a="1"/>
  <c r="R226" i="31" s="1"/>
  <c r="Q226" i="31"/>
  <c r="X226" i="31"/>
  <c r="W227" i="31"/>
  <c r="P227" i="31"/>
  <c r="Q218" i="31"/>
  <c r="P218" i="31"/>
  <c r="X218" i="31"/>
  <c r="W218" i="31"/>
  <c r="X204" i="31"/>
  <c r="P204" i="31"/>
  <c r="W204" i="31"/>
  <c r="Q204" i="31"/>
  <c r="X190" i="31"/>
  <c r="P190" i="31"/>
  <c r="Q190" i="31"/>
  <c r="W190" i="31"/>
  <c r="R151" i="31" a="1"/>
  <c r="R151" i="31" s="1"/>
  <c r="T151" i="31" s="1"/>
  <c r="Y151" i="31" s="1" a="1"/>
  <c r="Y151" i="31" s="1"/>
  <c r="AA151" i="31" s="1"/>
  <c r="U177" i="31" a="1"/>
  <c r="U177" i="31" s="1"/>
  <c r="Z177" i="31" a="1"/>
  <c r="Z177" i="31" s="1"/>
  <c r="Q177" i="31"/>
  <c r="X177" i="31"/>
  <c r="X169" i="31" s="1"/>
  <c r="X168" i="31" s="1"/>
  <c r="W177" i="31"/>
  <c r="P177" i="31"/>
  <c r="O177" i="31" a="1"/>
  <c r="O177" i="31" s="1"/>
  <c r="Z176" i="31" a="1"/>
  <c r="Z176" i="31" s="1"/>
  <c r="S176" i="31" a="1"/>
  <c r="S176" i="31" s="1"/>
  <c r="U176" i="31" a="1"/>
  <c r="U176" i="31" s="1"/>
  <c r="V176" i="31" a="1"/>
  <c r="V176" i="31" s="1"/>
  <c r="O176" i="31" a="1"/>
  <c r="O176" i="31" s="1"/>
  <c r="S177" i="31" a="1"/>
  <c r="S177" i="31" s="1"/>
  <c r="Z174" i="31" a="1"/>
  <c r="Z174" i="31" s="1"/>
  <c r="U174" i="31" a="1"/>
  <c r="U174" i="31" s="1"/>
  <c r="O174" i="31" a="1"/>
  <c r="O174" i="31" s="1"/>
  <c r="V174" i="31" a="1"/>
  <c r="V174" i="31" s="1"/>
  <c r="S174" i="31" a="1"/>
  <c r="S174" i="31" s="1"/>
  <c r="Z173" i="31" a="1"/>
  <c r="Z173" i="31" s="1"/>
  <c r="V173" i="31" a="1"/>
  <c r="V173" i="31" s="1"/>
  <c r="U173" i="31" a="1"/>
  <c r="U173" i="31" s="1"/>
  <c r="S173" i="31" a="1"/>
  <c r="S173" i="31" s="1"/>
  <c r="O173" i="31" a="1"/>
  <c r="O173" i="31" s="1"/>
  <c r="V172" i="31" a="1"/>
  <c r="V172" i="31" s="1"/>
  <c r="U172" i="31" a="1"/>
  <c r="U172" i="31" s="1"/>
  <c r="S172" i="31" a="1"/>
  <c r="S172" i="31" s="1"/>
  <c r="Z172" i="31" a="1"/>
  <c r="Z172" i="31" s="1"/>
  <c r="O172" i="31" a="1"/>
  <c r="O172" i="31" s="1"/>
  <c r="Z171" i="31" a="1"/>
  <c r="Z171" i="31" s="1"/>
  <c r="O171" i="31" a="1"/>
  <c r="O171" i="31" s="1"/>
  <c r="V171" i="31" a="1"/>
  <c r="V171" i="31" s="1"/>
  <c r="U171" i="31" a="1"/>
  <c r="U171" i="31" s="1"/>
  <c r="S171" i="31" a="1"/>
  <c r="S171" i="31" s="1"/>
  <c r="U160" i="31" a="1"/>
  <c r="U160" i="31" s="1"/>
  <c r="Z160" i="31" a="1"/>
  <c r="Z160" i="31" s="1"/>
  <c r="V160" i="31" a="1"/>
  <c r="V160" i="31" s="1"/>
  <c r="X160" i="31"/>
  <c r="X153" i="31" s="1"/>
  <c r="Q160" i="31"/>
  <c r="W160" i="31"/>
  <c r="P160" i="31"/>
  <c r="O160" i="31" a="1"/>
  <c r="O160" i="31" s="1"/>
  <c r="R160" i="31" s="1" a="1"/>
  <c r="R160" i="31" s="1"/>
  <c r="S142" i="31" a="1"/>
  <c r="S142" i="31" s="1"/>
  <c r="U142" i="31" a="1"/>
  <c r="U142" i="31" s="1"/>
  <c r="V142" i="31" a="1"/>
  <c r="V142" i="31" s="1"/>
  <c r="O142" i="31" a="1"/>
  <c r="O142" i="31" s="1"/>
  <c r="P142" i="31"/>
  <c r="X142" i="31"/>
  <c r="W142" i="31"/>
  <c r="Q142" i="31"/>
  <c r="R127" i="31" a="1"/>
  <c r="R127" i="31" s="1"/>
  <c r="T127" i="31" s="1"/>
  <c r="Y127" i="31" s="1" a="1"/>
  <c r="Y127" i="31" s="1"/>
  <c r="AA127" i="31" s="1"/>
  <c r="T118" i="31"/>
  <c r="Y118" i="31" s="1" a="1"/>
  <c r="Y118" i="31" s="1"/>
  <c r="AA118" i="31" s="1"/>
  <c r="W103" i="31"/>
  <c r="P103" i="31"/>
  <c r="O94" i="31" a="1"/>
  <c r="O94" i="31" s="1"/>
  <c r="X94" i="31"/>
  <c r="X87" i="31" s="1"/>
  <c r="X86" i="31" s="1"/>
  <c r="W94" i="31"/>
  <c r="Q94" i="31"/>
  <c r="P94" i="31"/>
  <c r="S94" i="31" a="1"/>
  <c r="S94" i="31" s="1"/>
  <c r="U94" i="31" a="1"/>
  <c r="U94" i="31" s="1"/>
  <c r="V94" i="31" a="1"/>
  <c r="V94" i="31" s="1"/>
  <c r="P69" i="31"/>
  <c r="W69" i="31"/>
  <c r="P49" i="31"/>
  <c r="Q49" i="31"/>
  <c r="X49" i="31"/>
  <c r="W49" i="31"/>
  <c r="W39" i="31"/>
  <c r="X39" i="31"/>
  <c r="P39" i="31"/>
  <c r="Q39" i="31"/>
  <c r="S8" i="31"/>
  <c r="S4" i="31" s="1"/>
  <c r="G38" i="32" s="1"/>
  <c r="G60" i="32" s="1"/>
  <c r="Y264" i="31" a="1"/>
  <c r="Y264" i="31" s="1"/>
  <c r="AA264" i="31" s="1"/>
  <c r="AA252" i="31"/>
  <c r="AA246" i="31" s="1"/>
  <c r="Y252" i="31"/>
  <c r="Y246" i="31" s="1"/>
  <c r="B10" i="49"/>
  <c r="K227" i="31"/>
  <c r="W15" i="31"/>
  <c r="W14" i="31" s="1"/>
  <c r="W110" i="31"/>
  <c r="W109" i="31" s="1"/>
  <c r="B98" i="49"/>
  <c r="K39" i="31"/>
  <c r="B4" i="37" a="1"/>
  <c r="B4" i="37" s="1"/>
  <c r="E4" i="37" s="1"/>
  <c r="J227" i="31"/>
  <c r="F227" i="31"/>
  <c r="N65" i="30"/>
  <c r="O65" i="30" s="1"/>
  <c r="P75" i="8"/>
  <c r="Q75" i="8"/>
  <c r="P15" i="31"/>
  <c r="P14" i="31" s="1"/>
  <c r="Q15" i="31"/>
  <c r="Q14" i="31" s="1"/>
  <c r="R22" i="31" a="1"/>
  <c r="R22" i="31" s="1"/>
  <c r="P110" i="31"/>
  <c r="P109" i="31" s="1"/>
  <c r="D47" i="32" s="1"/>
  <c r="R9" i="31" a="1"/>
  <c r="R9" i="31" s="1"/>
  <c r="F218" i="31"/>
  <c r="F204" i="31"/>
  <c r="F190" i="31"/>
  <c r="F177" i="31"/>
  <c r="F160" i="31"/>
  <c r="L152" i="31" a="1"/>
  <c r="L152" i="31" s="1"/>
  <c r="G152" i="31" a="1"/>
  <c r="G152" i="31" s="1"/>
  <c r="H152" i="31" a="1"/>
  <c r="H152" i="31" s="1"/>
  <c r="I152" i="31" a="1"/>
  <c r="I152" i="31" s="1"/>
  <c r="J152" i="31" s="1"/>
  <c r="M152" i="31" a="1"/>
  <c r="M152" i="31" s="1"/>
  <c r="K152" i="31" s="1"/>
  <c r="Z152" i="31" s="1" a="1"/>
  <c r="Z152" i="31" s="1"/>
  <c r="F142" i="31"/>
  <c r="F103" i="31"/>
  <c r="F94" i="31"/>
  <c r="F69" i="31"/>
  <c r="F49" i="31"/>
  <c r="F39" i="31"/>
  <c r="O75" i="8"/>
  <c r="N75" i="8"/>
  <c r="M75" i="8"/>
  <c r="H90" i="51" l="1"/>
  <c r="H102" i="51" s="1"/>
  <c r="H105" i="51" s="1"/>
  <c r="H106" i="51" s="1"/>
  <c r="H107" i="51" s="1"/>
  <c r="K108" i="51"/>
  <c r="G108" i="51"/>
  <c r="N108" i="51"/>
  <c r="L108" i="51"/>
  <c r="I102" i="51"/>
  <c r="I105" i="51" s="1"/>
  <c r="I106" i="51" s="1"/>
  <c r="I107" i="51" s="1"/>
  <c r="F102" i="51"/>
  <c r="F105" i="51" s="1"/>
  <c r="F106" i="51" s="1"/>
  <c r="F107" i="51" s="1"/>
  <c r="J102" i="51"/>
  <c r="J105" i="51" s="1"/>
  <c r="J106" i="51" s="1"/>
  <c r="J107" i="51" s="1"/>
  <c r="Q102" i="51"/>
  <c r="Q105" i="51" s="1"/>
  <c r="Q106" i="51" s="1"/>
  <c r="Q107" i="51" s="1"/>
  <c r="M108" i="51"/>
  <c r="P108" i="51"/>
  <c r="O108" i="51"/>
  <c r="T226" i="31"/>
  <c r="Y226" i="31" s="1" a="1"/>
  <c r="Y226" i="31" s="1"/>
  <c r="AA226" i="31" s="1"/>
  <c r="V227" i="31" a="1"/>
  <c r="V227" i="31" s="1"/>
  <c r="U227" i="31" a="1"/>
  <c r="U227" i="31" s="1"/>
  <c r="Z227" i="31" a="1"/>
  <c r="Z227" i="31" s="1"/>
  <c r="S227" i="31" a="1"/>
  <c r="S227" i="31" s="1"/>
  <c r="O227" i="31" a="1"/>
  <c r="O227" i="31" s="1"/>
  <c r="R177" i="31" a="1"/>
  <c r="R177" i="31" s="1"/>
  <c r="T177" i="31" s="1"/>
  <c r="Y177" i="31" s="1" a="1"/>
  <c r="Y177" i="31" s="1"/>
  <c r="AA177" i="31" s="1"/>
  <c r="R176" i="31" a="1"/>
  <c r="R176" i="31" s="1"/>
  <c r="T176" i="31" s="1"/>
  <c r="Y176" i="31" s="1" a="1"/>
  <c r="Y176" i="31" s="1"/>
  <c r="AA176" i="31" s="1"/>
  <c r="R173" i="31" a="1"/>
  <c r="R173" i="31" s="1"/>
  <c r="T173" i="31" s="1"/>
  <c r="Y173" i="31" s="1" a="1"/>
  <c r="Y173" i="31" s="1"/>
  <c r="AA173" i="31" s="1"/>
  <c r="R174" i="31" a="1"/>
  <c r="R174" i="31" s="1"/>
  <c r="T174" i="31" s="1"/>
  <c r="Y174" i="31" s="1" a="1"/>
  <c r="Y174" i="31" s="1"/>
  <c r="AA174" i="31" s="1"/>
  <c r="R171" i="31" a="1"/>
  <c r="R171" i="31" s="1"/>
  <c r="T171" i="31" s="1"/>
  <c r="Y171" i="31" s="1" a="1"/>
  <c r="Y171" i="31" s="1"/>
  <c r="AA171" i="31" s="1"/>
  <c r="R172" i="31" a="1"/>
  <c r="R172" i="31" s="1"/>
  <c r="T172" i="31" s="1"/>
  <c r="Y172" i="31" s="1" a="1"/>
  <c r="Y172" i="31" s="1"/>
  <c r="AA172" i="31" s="1"/>
  <c r="T160" i="31"/>
  <c r="Y160" i="31" s="1" a="1"/>
  <c r="Y160" i="31" s="1"/>
  <c r="AA160" i="31" s="1"/>
  <c r="U152" i="31" a="1"/>
  <c r="U152" i="31" s="1"/>
  <c r="V152" i="31" a="1"/>
  <c r="V152" i="31" s="1"/>
  <c r="O152" i="31" a="1"/>
  <c r="O152" i="31" s="1"/>
  <c r="X152" i="31"/>
  <c r="X144" i="31" s="1"/>
  <c r="Q152" i="31"/>
  <c r="P152" i="31"/>
  <c r="W152" i="31"/>
  <c r="S152" i="31" a="1"/>
  <c r="S152" i="31" s="1"/>
  <c r="R142" i="31" a="1"/>
  <c r="R142" i="31" s="1"/>
  <c r="T142" i="31" s="1"/>
  <c r="Y142" i="31" s="1" a="1"/>
  <c r="Y142" i="31" s="1"/>
  <c r="AA142" i="31" s="1"/>
  <c r="R94" i="31" a="1"/>
  <c r="R94" i="31" s="1"/>
  <c r="T94" i="31" s="1"/>
  <c r="Y94" i="31" s="1" a="1"/>
  <c r="Y94" i="31" s="1"/>
  <c r="AA94" i="31" s="1"/>
  <c r="O39" i="31" a="1"/>
  <c r="O39" i="31" s="1"/>
  <c r="V39" i="31" a="1"/>
  <c r="V39" i="31" s="1"/>
  <c r="S39" i="31" a="1"/>
  <c r="S39" i="31" s="1"/>
  <c r="U39" i="31" a="1"/>
  <c r="U39" i="31" s="1"/>
  <c r="Z39" i="31" a="1"/>
  <c r="Z39" i="31" s="1"/>
  <c r="V169" i="31"/>
  <c r="V168" i="31" s="1"/>
  <c r="Z169" i="31"/>
  <c r="Z168" i="31" s="1"/>
  <c r="W153" i="31"/>
  <c r="W211" i="31"/>
  <c r="W197" i="31"/>
  <c r="W169" i="31"/>
  <c r="W168" i="31" s="1"/>
  <c r="W87" i="31"/>
  <c r="W86" i="31" s="1"/>
  <c r="E39" i="32"/>
  <c r="D39" i="32"/>
  <c r="O169" i="31"/>
  <c r="S75" i="8"/>
  <c r="B5" i="37" a="1"/>
  <c r="B5" i="37" s="1"/>
  <c r="E5" i="37" s="1"/>
  <c r="M228" i="31" a="1"/>
  <c r="M228" i="31" s="1"/>
  <c r="L228" i="31" a="1"/>
  <c r="L228" i="31" s="1"/>
  <c r="I228" i="31" a="1"/>
  <c r="I228" i="31" s="1"/>
  <c r="H228" i="31" a="1"/>
  <c r="H228" i="31" s="1"/>
  <c r="G228" i="31" a="1"/>
  <c r="G228" i="31" s="1"/>
  <c r="P211" i="31"/>
  <c r="P169" i="31"/>
  <c r="P168" i="31" s="1"/>
  <c r="D50" i="32" s="1"/>
  <c r="Q169" i="31"/>
  <c r="Q168" i="31" s="1"/>
  <c r="E50" i="32" s="1"/>
  <c r="P153" i="31"/>
  <c r="Q153" i="31"/>
  <c r="P197" i="31"/>
  <c r="P87" i="31"/>
  <c r="P86" i="31" s="1"/>
  <c r="D45" i="32" s="1"/>
  <c r="T22" i="31"/>
  <c r="Q87" i="31"/>
  <c r="Q86" i="31" s="1"/>
  <c r="E45" i="32" s="1"/>
  <c r="R8" i="31"/>
  <c r="R4" i="31" s="1"/>
  <c r="F38" i="32" s="1"/>
  <c r="F60" i="32" s="1"/>
  <c r="T9" i="31"/>
  <c r="S169" i="31"/>
  <c r="S168" i="31" s="1"/>
  <c r="G50" i="32" s="1"/>
  <c r="H219" i="31" a="1"/>
  <c r="H219" i="31" s="1"/>
  <c r="I219" i="31" a="1"/>
  <c r="I219" i="31" s="1"/>
  <c r="M219" i="31" a="1"/>
  <c r="M219" i="31" s="1"/>
  <c r="K219" i="31" s="1"/>
  <c r="V219" i="31" s="1" a="1"/>
  <c r="V219" i="31" s="1"/>
  <c r="L219" i="31" a="1"/>
  <c r="L219" i="31" s="1"/>
  <c r="G219" i="31" a="1"/>
  <c r="G219" i="31" s="1"/>
  <c r="G205" i="31" a="1"/>
  <c r="G205" i="31" s="1"/>
  <c r="H205" i="31" a="1"/>
  <c r="H205" i="31" s="1"/>
  <c r="I205" i="31" a="1"/>
  <c r="I205" i="31" s="1"/>
  <c r="M205" i="31" a="1"/>
  <c r="M205" i="31" s="1"/>
  <c r="K205" i="31" s="1"/>
  <c r="V205" i="31" s="1" a="1"/>
  <c r="V205" i="31" s="1"/>
  <c r="L205" i="31" a="1"/>
  <c r="L205" i="31" s="1"/>
  <c r="G191" i="31" a="1"/>
  <c r="G191" i="31" s="1"/>
  <c r="H191" i="31" a="1"/>
  <c r="H191" i="31" s="1"/>
  <c r="I191" i="31" a="1"/>
  <c r="I191" i="31" s="1"/>
  <c r="M191" i="31" a="1"/>
  <c r="M191" i="31" s="1"/>
  <c r="K191" i="31" s="1"/>
  <c r="O191" i="31" s="1" a="1"/>
  <c r="O191" i="31" s="1"/>
  <c r="L191" i="31" a="1"/>
  <c r="L191" i="31" s="1"/>
  <c r="O8" i="31"/>
  <c r="O4" i="31" s="1"/>
  <c r="C38" i="32" s="1"/>
  <c r="C60" i="32" s="1"/>
  <c r="F152" i="31"/>
  <c r="M143" i="31" a="1"/>
  <c r="M143" i="31" s="1"/>
  <c r="L143" i="31" a="1"/>
  <c r="L143" i="31" s="1"/>
  <c r="I143" i="31" a="1"/>
  <c r="I143" i="31" s="1"/>
  <c r="J143" i="31" s="1"/>
  <c r="H143" i="31" a="1"/>
  <c r="H143" i="31" s="1"/>
  <c r="G143" i="31" a="1"/>
  <c r="G143" i="31" s="1"/>
  <c r="L104" i="31" a="1"/>
  <c r="L104" i="31" s="1"/>
  <c r="M104" i="31" a="1"/>
  <c r="M104" i="31" s="1"/>
  <c r="K104" i="31" s="1"/>
  <c r="Z104" i="31" s="1" a="1"/>
  <c r="Z104" i="31" s="1"/>
  <c r="H104" i="31" a="1"/>
  <c r="H104" i="31" s="1"/>
  <c r="I104" i="31" a="1"/>
  <c r="I104" i="31" s="1"/>
  <c r="J104" i="31" s="1"/>
  <c r="G104" i="31" a="1"/>
  <c r="G104" i="31" s="1"/>
  <c r="M70" i="31" a="1"/>
  <c r="M70" i="31" s="1"/>
  <c r="K70" i="31" s="1"/>
  <c r="L70" i="31" a="1"/>
  <c r="L70" i="31" s="1"/>
  <c r="G70" i="31" a="1"/>
  <c r="G70" i="31" s="1"/>
  <c r="H70" i="31" a="1"/>
  <c r="H70" i="31" s="1"/>
  <c r="I70" i="31" a="1"/>
  <c r="I70" i="31" s="1"/>
  <c r="J70" i="31" s="1"/>
  <c r="G50" i="31" a="1"/>
  <c r="G50" i="31" s="1"/>
  <c r="H50" i="31" a="1"/>
  <c r="H50" i="31" s="1"/>
  <c r="I50" i="31" a="1"/>
  <c r="I50" i="31" s="1"/>
  <c r="J50" i="31" s="1"/>
  <c r="L50" i="31" a="1"/>
  <c r="L50" i="31" s="1"/>
  <c r="G40" i="31" a="1"/>
  <c r="G40" i="31" s="1"/>
  <c r="H40" i="31" a="1"/>
  <c r="H40" i="31" s="1"/>
  <c r="I40" i="31" a="1"/>
  <c r="I40" i="31" s="1"/>
  <c r="J40" i="31" s="1"/>
  <c r="M40" i="31" a="1"/>
  <c r="M40" i="31" s="1"/>
  <c r="K40" i="31" s="1"/>
  <c r="O40" i="31" s="1" a="1"/>
  <c r="O40" i="31" s="1"/>
  <c r="L40" i="31" a="1"/>
  <c r="L40" i="31" s="1"/>
  <c r="H183" i="8"/>
  <c r="H108" i="8"/>
  <c r="H25" i="8"/>
  <c r="K25" i="8" l="1"/>
  <c r="K28" i="8" s="1"/>
  <c r="L25" i="8"/>
  <c r="L28" i="8" s="1"/>
  <c r="L108" i="8"/>
  <c r="K108" i="8"/>
  <c r="L183" i="8"/>
  <c r="L187" i="8" s="1"/>
  <c r="K183" i="8"/>
  <c r="K187" i="8" s="1"/>
  <c r="Q108" i="51"/>
  <c r="J108" i="51"/>
  <c r="F108" i="51"/>
  <c r="H108" i="51"/>
  <c r="I108" i="51"/>
  <c r="R227" i="31" a="1"/>
  <c r="R227" i="31" s="1"/>
  <c r="Q227" i="31"/>
  <c r="W228" i="31"/>
  <c r="P228" i="31"/>
  <c r="P225" i="31" s="1"/>
  <c r="X227" i="31"/>
  <c r="O219" i="31" a="1"/>
  <c r="O219" i="31" s="1"/>
  <c r="S219" i="31" a="1"/>
  <c r="S219" i="31" s="1"/>
  <c r="U219" i="31" a="1"/>
  <c r="U219" i="31" s="1"/>
  <c r="X219" i="31"/>
  <c r="W219" i="31"/>
  <c r="Q219" i="31"/>
  <c r="P219" i="31"/>
  <c r="Z219" i="31" a="1"/>
  <c r="Z219" i="31" s="1"/>
  <c r="Z205" i="31" a="1"/>
  <c r="Z205" i="31" s="1"/>
  <c r="O205" i="31" a="1"/>
  <c r="O205" i="31" s="1"/>
  <c r="S205" i="31" a="1"/>
  <c r="S205" i="31" s="1"/>
  <c r="X205" i="31"/>
  <c r="W205" i="31"/>
  <c r="Q205" i="31"/>
  <c r="P205" i="31"/>
  <c r="U205" i="31" a="1"/>
  <c r="U205" i="31" s="1"/>
  <c r="Z191" i="31" a="1"/>
  <c r="Z191" i="31" s="1"/>
  <c r="V191" i="31" a="1"/>
  <c r="V191" i="31" s="1"/>
  <c r="U191" i="31" a="1"/>
  <c r="U191" i="31" s="1"/>
  <c r="S191" i="31" a="1"/>
  <c r="S191" i="31" s="1"/>
  <c r="R191" i="31" s="1" a="1"/>
  <c r="R191" i="31" s="1"/>
  <c r="Q191" i="31"/>
  <c r="W191" i="31"/>
  <c r="P191" i="31"/>
  <c r="X191" i="31"/>
  <c r="R152" i="31" a="1"/>
  <c r="R152" i="31" s="1"/>
  <c r="T152" i="31" s="1"/>
  <c r="Y152" i="31" s="1" a="1"/>
  <c r="Y152" i="31" s="1"/>
  <c r="AA152" i="31" s="1"/>
  <c r="Q143" i="31"/>
  <c r="X143" i="31"/>
  <c r="X135" i="31" s="1"/>
  <c r="X134" i="31" s="1"/>
  <c r="W143" i="31"/>
  <c r="P143" i="31"/>
  <c r="X104" i="31"/>
  <c r="W104" i="31"/>
  <c r="Q104" i="31"/>
  <c r="P104" i="31"/>
  <c r="O104" i="31" a="1"/>
  <c r="O104" i="31" s="1"/>
  <c r="U104" i="31" a="1"/>
  <c r="U104" i="31" s="1"/>
  <c r="S104" i="31" a="1"/>
  <c r="S104" i="31" s="1"/>
  <c r="V104" i="31" a="1"/>
  <c r="V104" i="31" s="1"/>
  <c r="P70" i="31"/>
  <c r="Q70" i="31"/>
  <c r="W70" i="31"/>
  <c r="X70" i="31"/>
  <c r="P50" i="31"/>
  <c r="Q50" i="31"/>
  <c r="W50" i="31"/>
  <c r="X50" i="31"/>
  <c r="Q40" i="31"/>
  <c r="X40" i="31"/>
  <c r="X32" i="31" s="1"/>
  <c r="X31" i="31" s="1"/>
  <c r="W40" i="31"/>
  <c r="P40" i="31"/>
  <c r="V40" i="31" a="1"/>
  <c r="V40" i="31" s="1"/>
  <c r="U40" i="31" a="1"/>
  <c r="U40" i="31" s="1"/>
  <c r="S40" i="31" a="1"/>
  <c r="S40" i="31" s="1"/>
  <c r="R40" i="31" s="1" a="1"/>
  <c r="R40" i="31" s="1"/>
  <c r="Z40" i="31" a="1"/>
  <c r="Z40" i="31" s="1"/>
  <c r="R39" i="31" a="1"/>
  <c r="R39" i="31" s="1"/>
  <c r="T39" i="31" s="1"/>
  <c r="Y39" i="31" s="1" a="1"/>
  <c r="Y39" i="31" s="1"/>
  <c r="AA39" i="31" s="1"/>
  <c r="Y9" i="31" a="1"/>
  <c r="Y9" i="31" s="1"/>
  <c r="Y8" i="31" s="1"/>
  <c r="Y4" i="31" s="1"/>
  <c r="AA4" i="31" s="1"/>
  <c r="Y22" i="31" a="1"/>
  <c r="Y22" i="31" s="1"/>
  <c r="AA22" i="31" s="1"/>
  <c r="K228" i="31"/>
  <c r="W144" i="31"/>
  <c r="K143" i="31"/>
  <c r="R169" i="31"/>
  <c r="R168" i="31" s="1"/>
  <c r="F50" i="32" s="1"/>
  <c r="B6" i="37" a="1"/>
  <c r="B6" i="37" s="1"/>
  <c r="J228" i="31"/>
  <c r="F228" i="31"/>
  <c r="O183" i="8"/>
  <c r="O187" i="8" s="1"/>
  <c r="N183" i="8"/>
  <c r="N187" i="8" s="1"/>
  <c r="M183" i="8"/>
  <c r="M187" i="8" s="1"/>
  <c r="P183" i="8"/>
  <c r="P187" i="8" s="1"/>
  <c r="Q183" i="8"/>
  <c r="Q187" i="8" s="1"/>
  <c r="M25" i="8"/>
  <c r="Q25" i="8"/>
  <c r="Q28" i="8" s="1"/>
  <c r="O25" i="8"/>
  <c r="O28" i="8" s="1"/>
  <c r="N25" i="8"/>
  <c r="P25" i="8"/>
  <c r="P28" i="8" s="1"/>
  <c r="O108" i="8"/>
  <c r="N108" i="8"/>
  <c r="M108" i="8"/>
  <c r="Q108" i="8"/>
  <c r="P108" i="8"/>
  <c r="U169" i="31"/>
  <c r="U168" i="31" s="1"/>
  <c r="H14" i="32" s="1"/>
  <c r="P144" i="31"/>
  <c r="Q144" i="31"/>
  <c r="O168" i="31"/>
  <c r="T4" i="31"/>
  <c r="J219" i="31"/>
  <c r="F219" i="31"/>
  <c r="J205" i="31"/>
  <c r="F205" i="31"/>
  <c r="F191" i="31"/>
  <c r="J191" i="31"/>
  <c r="M204" i="31" a="1"/>
  <c r="M204" i="31" s="1"/>
  <c r="K204" i="31" s="1"/>
  <c r="M190" i="31" a="1"/>
  <c r="M190" i="31" s="1"/>
  <c r="K190" i="31" s="1"/>
  <c r="M218" i="31" a="1"/>
  <c r="M218" i="31" s="1"/>
  <c r="K218" i="31" s="1"/>
  <c r="M120" i="31" a="1"/>
  <c r="M120" i="31" s="1"/>
  <c r="K120" i="31" s="1"/>
  <c r="M200" i="31" a="1"/>
  <c r="M200" i="31" s="1"/>
  <c r="K200" i="31" s="1"/>
  <c r="M186" i="31" a="1"/>
  <c r="M186" i="31" s="1"/>
  <c r="K186" i="31" s="1"/>
  <c r="M202" i="31" a="1"/>
  <c r="M202" i="31" s="1"/>
  <c r="K202" i="31" s="1"/>
  <c r="M188" i="31" a="1"/>
  <c r="M188" i="31" s="1"/>
  <c r="K188" i="31" s="1"/>
  <c r="F143" i="31"/>
  <c r="F104" i="31"/>
  <c r="F70" i="31"/>
  <c r="F50" i="31"/>
  <c r="F40" i="31"/>
  <c r="S10" i="10"/>
  <c r="T10" i="10"/>
  <c r="E108" i="51" l="1"/>
  <c r="B10" i="34" s="1"/>
  <c r="R205" i="31" a="1"/>
  <c r="R205" i="31" s="1"/>
  <c r="T205" i="31" s="1"/>
  <c r="Y205" i="31" s="1" a="1"/>
  <c r="Y205" i="31" s="1"/>
  <c r="AA205" i="31" s="1"/>
  <c r="T227" i="31"/>
  <c r="Y227" i="31" s="1" a="1"/>
  <c r="Y227" i="31" s="1"/>
  <c r="AA227" i="31" s="1"/>
  <c r="R219" i="31" a="1"/>
  <c r="R219" i="31" s="1"/>
  <c r="T219" i="31" s="1"/>
  <c r="Y219" i="31" s="1" a="1"/>
  <c r="Y219" i="31" s="1"/>
  <c r="AA219" i="31" s="1"/>
  <c r="V228" i="31" a="1"/>
  <c r="V228" i="31" s="1"/>
  <c r="S228" i="31" a="1"/>
  <c r="S228" i="31" s="1"/>
  <c r="O228" i="31" a="1"/>
  <c r="O228" i="31" s="1"/>
  <c r="Z228" i="31" a="1"/>
  <c r="Z228" i="31" s="1"/>
  <c r="Z225" i="31" s="1"/>
  <c r="U228" i="31" a="1"/>
  <c r="U228" i="31" s="1"/>
  <c r="U225" i="31" s="1"/>
  <c r="Z218" i="31" a="1"/>
  <c r="Z218" i="31" s="1"/>
  <c r="O218" i="31" a="1"/>
  <c r="O218" i="31" s="1"/>
  <c r="U218" i="31" a="1"/>
  <c r="U218" i="31" s="1"/>
  <c r="S218" i="31" a="1"/>
  <c r="S218" i="31" s="1"/>
  <c r="V218" i="31" a="1"/>
  <c r="V218" i="31" s="1"/>
  <c r="Z202" i="31" a="1"/>
  <c r="Z202" i="31" s="1"/>
  <c r="V202" i="31" a="1"/>
  <c r="V202" i="31" s="1"/>
  <c r="U202" i="31" a="1"/>
  <c r="U202" i="31" s="1"/>
  <c r="S202" i="31" a="1"/>
  <c r="S202" i="31" s="1"/>
  <c r="O202" i="31" a="1"/>
  <c r="O202" i="31" s="1"/>
  <c r="V204" i="31" a="1"/>
  <c r="V204" i="31" s="1"/>
  <c r="Z204" i="31" a="1"/>
  <c r="Z204" i="31" s="1"/>
  <c r="O204" i="31" a="1"/>
  <c r="O204" i="31" s="1"/>
  <c r="U204" i="31" a="1"/>
  <c r="U204" i="31" s="1"/>
  <c r="S204" i="31" a="1"/>
  <c r="S204" i="31" s="1"/>
  <c r="Z200" i="31" a="1"/>
  <c r="Z200" i="31" s="1"/>
  <c r="U200" i="31" a="1"/>
  <c r="U200" i="31" s="1"/>
  <c r="V200" i="31" a="1"/>
  <c r="V200" i="31" s="1"/>
  <c r="S200" i="31" a="1"/>
  <c r="S200" i="31" s="1"/>
  <c r="O200" i="31" a="1"/>
  <c r="O200" i="31" s="1"/>
  <c r="T191" i="31"/>
  <c r="Y191" i="31" s="1" a="1"/>
  <c r="Y191" i="31" s="1"/>
  <c r="AA191" i="31" s="1"/>
  <c r="O186" i="31" a="1"/>
  <c r="O186" i="31" s="1"/>
  <c r="S186" i="31" a="1"/>
  <c r="S186" i="31" s="1"/>
  <c r="U186" i="31" a="1"/>
  <c r="U186" i="31" s="1"/>
  <c r="V186" i="31" a="1"/>
  <c r="V186" i="31" s="1"/>
  <c r="Z186" i="31" a="1"/>
  <c r="Z186" i="31" s="1"/>
  <c r="O190" i="31" a="1"/>
  <c r="O190" i="31" s="1"/>
  <c r="S190" i="31" a="1"/>
  <c r="S190" i="31" s="1"/>
  <c r="V190" i="31" a="1"/>
  <c r="V190" i="31" s="1"/>
  <c r="U190" i="31" a="1"/>
  <c r="U190" i="31" s="1"/>
  <c r="Z190" i="31" a="1"/>
  <c r="Z190" i="31" s="1"/>
  <c r="P183" i="31"/>
  <c r="O188" i="31" a="1"/>
  <c r="O188" i="31" s="1"/>
  <c r="S188" i="31" a="1"/>
  <c r="S188" i="31" s="1"/>
  <c r="V188" i="31" a="1"/>
  <c r="V188" i="31" s="1"/>
  <c r="U188" i="31" a="1"/>
  <c r="U188" i="31" s="1"/>
  <c r="Z188" i="31" a="1"/>
  <c r="Z188" i="31" s="1"/>
  <c r="U143" i="31" a="1"/>
  <c r="U143" i="31" s="1"/>
  <c r="Z143" i="31" a="1"/>
  <c r="Z143" i="31" s="1"/>
  <c r="S143" i="31" a="1"/>
  <c r="S143" i="31" s="1"/>
  <c r="O143" i="31" a="1"/>
  <c r="O143" i="31" s="1"/>
  <c r="V143" i="31" a="1"/>
  <c r="V143" i="31" s="1"/>
  <c r="Z120" i="31" a="1"/>
  <c r="Z120" i="31" s="1"/>
  <c r="Z119" i="31" s="1"/>
  <c r="V120" i="31" a="1"/>
  <c r="V120" i="31" s="1"/>
  <c r="V119" i="31" s="1"/>
  <c r="U120" i="31" a="1"/>
  <c r="U120" i="31" s="1"/>
  <c r="S120" i="31" a="1"/>
  <c r="S120" i="31" s="1"/>
  <c r="O120" i="31" a="1"/>
  <c r="O120" i="31" s="1"/>
  <c r="R104" i="31" a="1"/>
  <c r="R104" i="31" s="1"/>
  <c r="T104" i="31" s="1"/>
  <c r="Y104" i="31" s="1" a="1"/>
  <c r="Y104" i="31" s="1"/>
  <c r="AA104" i="31" s="1"/>
  <c r="T40" i="31"/>
  <c r="Y40" i="31" s="1" a="1"/>
  <c r="Y40" i="31" s="1"/>
  <c r="AA40" i="31" s="1"/>
  <c r="AA9" i="31"/>
  <c r="AA8" i="31" s="1"/>
  <c r="W32" i="31"/>
  <c r="W31" i="31" s="1"/>
  <c r="W183" i="31"/>
  <c r="W225" i="31"/>
  <c r="W62" i="31"/>
  <c r="W61" i="31" s="1"/>
  <c r="W135" i="31"/>
  <c r="W134" i="31" s="1"/>
  <c r="W96" i="31"/>
  <c r="W95" i="31" s="1"/>
  <c r="B7" i="37" a="1"/>
  <c r="B7" i="37" s="1"/>
  <c r="E7" i="37" s="1"/>
  <c r="E6" i="37"/>
  <c r="B110" i="49"/>
  <c r="S108" i="8"/>
  <c r="S187" i="8"/>
  <c r="I221" i="31" a="1"/>
  <c r="I221" i="31" s="1"/>
  <c r="M221" i="31" a="1"/>
  <c r="M221" i="31" s="1"/>
  <c r="K221" i="31" s="1"/>
  <c r="L221" i="31" a="1"/>
  <c r="L221" i="31" s="1"/>
  <c r="H221" i="31" a="1"/>
  <c r="H221" i="31" s="1"/>
  <c r="G221" i="31" a="1"/>
  <c r="G221" i="31" s="1"/>
  <c r="I207" i="31" a="1"/>
  <c r="I207" i="31" s="1"/>
  <c r="H207" i="31" a="1"/>
  <c r="H207" i="31" s="1"/>
  <c r="G207" i="31" a="1"/>
  <c r="G207" i="31" s="1"/>
  <c r="M207" i="31" a="1"/>
  <c r="M207" i="31" s="1"/>
  <c r="L207" i="31" a="1"/>
  <c r="L207" i="31" s="1"/>
  <c r="I193" i="31" a="1"/>
  <c r="I193" i="31" s="1"/>
  <c r="H193" i="31" a="1"/>
  <c r="H193" i="31" s="1"/>
  <c r="G193" i="31" a="1"/>
  <c r="G193" i="31" s="1"/>
  <c r="M193" i="31" a="1"/>
  <c r="M193" i="31" s="1"/>
  <c r="K193" i="31" s="1"/>
  <c r="L193" i="31" a="1"/>
  <c r="L193" i="31" s="1"/>
  <c r="P62" i="31"/>
  <c r="Q135" i="31"/>
  <c r="Q134" i="31" s="1"/>
  <c r="E48" i="32" s="1"/>
  <c r="P32" i="31"/>
  <c r="P31" i="31" s="1"/>
  <c r="P96" i="31"/>
  <c r="P95" i="31" s="1"/>
  <c r="P135" i="31"/>
  <c r="P134" i="31" s="1"/>
  <c r="D48" i="32" s="1"/>
  <c r="Q32" i="31"/>
  <c r="Q31" i="31" s="1"/>
  <c r="C50" i="32"/>
  <c r="B38" i="32"/>
  <c r="D2" i="32"/>
  <c r="T261" i="31"/>
  <c r="D56" i="32"/>
  <c r="D77" i="32" s="1"/>
  <c r="L51" i="31" a="1"/>
  <c r="L51" i="31" s="1"/>
  <c r="M51" i="31" a="1"/>
  <c r="M51" i="31" s="1"/>
  <c r="K51" i="31" s="1"/>
  <c r="O51" i="31" s="1" a="1"/>
  <c r="O51" i="31" s="1"/>
  <c r="G51" i="31" a="1"/>
  <c r="G51" i="31" s="1"/>
  <c r="H51" i="31" a="1"/>
  <c r="H51" i="31" s="1"/>
  <c r="I51" i="31" a="1"/>
  <c r="I51" i="31" s="1"/>
  <c r="J51" i="31" s="1"/>
  <c r="H7" i="8"/>
  <c r="H6" i="8"/>
  <c r="H133" i="7"/>
  <c r="H59" i="7"/>
  <c r="H219" i="7"/>
  <c r="H217" i="7"/>
  <c r="H214" i="7"/>
  <c r="H213" i="7"/>
  <c r="H212" i="7"/>
  <c r="H9" i="7"/>
  <c r="H5" i="7"/>
  <c r="H80" i="5"/>
  <c r="H74" i="5"/>
  <c r="H67" i="5"/>
  <c r="H63" i="5"/>
  <c r="H54" i="5"/>
  <c r="K6" i="8" l="1"/>
  <c r="L6" i="8"/>
  <c r="K7" i="8"/>
  <c r="L7" i="8"/>
  <c r="P25" i="34"/>
  <c r="P29" i="34" s="1" a="1"/>
  <c r="P29" i="34" s="1"/>
  <c r="O25" i="34"/>
  <c r="O29" i="34" s="1" a="1"/>
  <c r="O29" i="34" s="1"/>
  <c r="C10" i="34" s="1"/>
  <c r="B20" i="34"/>
  <c r="B13" i="49" s="1"/>
  <c r="L5" i="7"/>
  <c r="K5" i="7"/>
  <c r="K9" i="7"/>
  <c r="K10" i="7" s="1"/>
  <c r="L9" i="7"/>
  <c r="L10" i="7" s="1"/>
  <c r="L212" i="7"/>
  <c r="K212" i="7"/>
  <c r="K213" i="7"/>
  <c r="L213" i="7"/>
  <c r="K214" i="7"/>
  <c r="L214" i="7"/>
  <c r="L217" i="7"/>
  <c r="K217" i="7"/>
  <c r="L219" i="7"/>
  <c r="K219" i="7"/>
  <c r="K59" i="7"/>
  <c r="K63" i="7" s="1"/>
  <c r="L59" i="7"/>
  <c r="L63" i="7" s="1"/>
  <c r="L133" i="7"/>
  <c r="K133" i="7"/>
  <c r="L54" i="5"/>
  <c r="K54" i="5"/>
  <c r="L63" i="5"/>
  <c r="K63" i="5"/>
  <c r="K67" i="5"/>
  <c r="L67" i="5"/>
  <c r="L74" i="5"/>
  <c r="K74" i="5"/>
  <c r="L80" i="5"/>
  <c r="K80" i="5"/>
  <c r="Z197" i="31"/>
  <c r="Q228" i="31"/>
  <c r="Q225" i="31" s="1"/>
  <c r="R228" i="31" a="1"/>
  <c r="R228" i="31" s="1"/>
  <c r="R225" i="31" s="1"/>
  <c r="X228" i="31"/>
  <c r="X225" i="31" s="1"/>
  <c r="V225" i="31"/>
  <c r="O225" i="31"/>
  <c r="P221" i="31"/>
  <c r="W221" i="31"/>
  <c r="Z221" i="31" a="1"/>
  <c r="Z221" i="31" s="1"/>
  <c r="V221" i="31" a="1"/>
  <c r="V221" i="31" s="1"/>
  <c r="U221" i="31" a="1"/>
  <c r="U221" i="31" s="1"/>
  <c r="O221" i="31" a="1"/>
  <c r="O221" i="31" s="1"/>
  <c r="S221" i="31" a="1"/>
  <c r="S221" i="31" s="1"/>
  <c r="R218" i="31" a="1"/>
  <c r="R218" i="31" s="1"/>
  <c r="T218" i="31" s="1"/>
  <c r="Y218" i="31" s="1" a="1"/>
  <c r="Y218" i="31" s="1"/>
  <c r="AA218" i="31" s="1"/>
  <c r="P207" i="31"/>
  <c r="W207" i="31"/>
  <c r="R204" i="31" a="1"/>
  <c r="R204" i="31" s="1"/>
  <c r="T204" i="31" s="1"/>
  <c r="Y204" i="31" s="1" a="1"/>
  <c r="Y204" i="31" s="1"/>
  <c r="AA204" i="31" s="1"/>
  <c r="R202" i="31" a="1"/>
  <c r="R202" i="31" s="1"/>
  <c r="T202" i="31" s="1"/>
  <c r="Y202" i="31" s="1" a="1"/>
  <c r="Y202" i="31" s="1"/>
  <c r="AA202" i="31" s="1"/>
  <c r="Q200" i="31"/>
  <c r="R200" i="31" a="1"/>
  <c r="R200" i="31" s="1"/>
  <c r="X200" i="31"/>
  <c r="W193" i="31"/>
  <c r="P193" i="31"/>
  <c r="Z193" i="31" a="1"/>
  <c r="Z193" i="31" s="1"/>
  <c r="U193" i="31" a="1"/>
  <c r="U193" i="31" s="1"/>
  <c r="S193" i="31" a="1"/>
  <c r="S193" i="31" s="1"/>
  <c r="O193" i="31" a="1"/>
  <c r="O193" i="31" s="1"/>
  <c r="V193" i="31" a="1"/>
  <c r="V193" i="31" s="1"/>
  <c r="R190" i="31" a="1"/>
  <c r="R190" i="31" s="1"/>
  <c r="T190" i="31" s="1"/>
  <c r="Y190" i="31" s="1" a="1"/>
  <c r="Y190" i="31" s="1"/>
  <c r="AA190" i="31" s="1"/>
  <c r="X186" i="31"/>
  <c r="R188" i="31" a="1"/>
  <c r="R188" i="31" s="1"/>
  <c r="T188" i="31" s="1"/>
  <c r="Y188" i="31" s="1" a="1"/>
  <c r="Y188" i="31" s="1"/>
  <c r="AA188" i="31" s="1"/>
  <c r="Q186" i="31"/>
  <c r="R186" i="31" a="1"/>
  <c r="R186" i="31" s="1"/>
  <c r="R143" i="31" a="1"/>
  <c r="R143" i="31" s="1"/>
  <c r="T143" i="31" s="1"/>
  <c r="Y143" i="31" s="1" a="1"/>
  <c r="Y143" i="31" s="1"/>
  <c r="AA143" i="31" s="1"/>
  <c r="R120" i="31" a="1"/>
  <c r="R120" i="31" s="1"/>
  <c r="Q120" i="31"/>
  <c r="X120" i="31"/>
  <c r="Z51" i="31" a="1"/>
  <c r="Z51" i="31" s="1"/>
  <c r="V51" i="31" a="1"/>
  <c r="V51" i="31" s="1"/>
  <c r="U51" i="31" a="1"/>
  <c r="U51" i="31" s="1"/>
  <c r="S51" i="31" a="1"/>
  <c r="S51" i="31" s="1"/>
  <c r="R51" i="31" s="1" a="1"/>
  <c r="R51" i="31" s="1"/>
  <c r="P51" i="31"/>
  <c r="Q51" i="31"/>
  <c r="W51" i="31"/>
  <c r="X51" i="31"/>
  <c r="Y261" i="31" a="1"/>
  <c r="Y261" i="31" s="1"/>
  <c r="AA261" i="31" s="1"/>
  <c r="S225" i="31"/>
  <c r="Y169" i="31"/>
  <c r="Y168" i="31" s="1"/>
  <c r="Z183" i="31"/>
  <c r="V183" i="31"/>
  <c r="V197" i="31"/>
  <c r="K207" i="31"/>
  <c r="B8" i="37" a="1"/>
  <c r="B8" i="37" s="1"/>
  <c r="E8" i="37" s="1"/>
  <c r="B75" i="49"/>
  <c r="E40" i="32"/>
  <c r="D40" i="32"/>
  <c r="K38" i="32"/>
  <c r="L38" i="32" s="1"/>
  <c r="I38" i="32"/>
  <c r="J221" i="31"/>
  <c r="F221" i="31"/>
  <c r="J207" i="31"/>
  <c r="F207" i="31"/>
  <c r="J193" i="31"/>
  <c r="F193" i="31"/>
  <c r="P61" i="31"/>
  <c r="D43" i="32" s="1"/>
  <c r="D46" i="32"/>
  <c r="N63" i="30"/>
  <c r="O63" i="30" s="1"/>
  <c r="U183" i="31"/>
  <c r="M7" i="8"/>
  <c r="N7" i="8"/>
  <c r="O7" i="8"/>
  <c r="P7" i="8"/>
  <c r="Q7" i="8"/>
  <c r="Q6" i="8"/>
  <c r="M6" i="8"/>
  <c r="O6" i="8"/>
  <c r="N6" i="8"/>
  <c r="P6" i="8"/>
  <c r="O74" i="5"/>
  <c r="Q74" i="5"/>
  <c r="P74" i="5"/>
  <c r="Q80" i="5"/>
  <c r="O80" i="5"/>
  <c r="P80" i="5"/>
  <c r="P67" i="5"/>
  <c r="O67" i="5"/>
  <c r="Q67" i="5"/>
  <c r="O54" i="5"/>
  <c r="Q54" i="5"/>
  <c r="P54" i="5"/>
  <c r="P63" i="5"/>
  <c r="O63" i="5"/>
  <c r="Q63" i="5"/>
  <c r="P214" i="7"/>
  <c r="Q214" i="7"/>
  <c r="Q217" i="7"/>
  <c r="P217" i="7"/>
  <c r="Q133" i="7"/>
  <c r="P133" i="7"/>
  <c r="Q213" i="7"/>
  <c r="P213" i="7"/>
  <c r="P5" i="7"/>
  <c r="Q5" i="7"/>
  <c r="Q9" i="7"/>
  <c r="Q10" i="7" s="1"/>
  <c r="P9" i="7"/>
  <c r="P10" i="7" s="1"/>
  <c r="P212" i="7"/>
  <c r="Q212" i="7"/>
  <c r="Q219" i="7"/>
  <c r="P219" i="7"/>
  <c r="P59" i="7"/>
  <c r="Q59" i="7"/>
  <c r="O213" i="7"/>
  <c r="M213" i="7"/>
  <c r="N213" i="7"/>
  <c r="M217" i="7"/>
  <c r="N217" i="7"/>
  <c r="O217" i="7"/>
  <c r="M5" i="7"/>
  <c r="O5" i="7"/>
  <c r="N5" i="7"/>
  <c r="N9" i="7"/>
  <c r="O9" i="7"/>
  <c r="M9" i="7"/>
  <c r="O212" i="7"/>
  <c r="M212" i="7"/>
  <c r="N212" i="7"/>
  <c r="N214" i="7"/>
  <c r="O214" i="7"/>
  <c r="M214" i="7"/>
  <c r="O219" i="7"/>
  <c r="M219" i="7"/>
  <c r="N219" i="7"/>
  <c r="M59" i="7"/>
  <c r="N59" i="7"/>
  <c r="O59" i="7"/>
  <c r="O133" i="7"/>
  <c r="M133" i="7"/>
  <c r="N133" i="7"/>
  <c r="U119" i="31"/>
  <c r="U197" i="31"/>
  <c r="M63" i="5"/>
  <c r="N63" i="5"/>
  <c r="N54" i="5"/>
  <c r="M54" i="5"/>
  <c r="M74" i="5"/>
  <c r="N74" i="5"/>
  <c r="M67" i="5"/>
  <c r="N67" i="5"/>
  <c r="M80" i="5"/>
  <c r="N80" i="5"/>
  <c r="B60" i="32"/>
  <c r="S197" i="31"/>
  <c r="O197" i="31"/>
  <c r="M56" i="31" a="1"/>
  <c r="M56" i="31" s="1"/>
  <c r="K56" i="31" s="1"/>
  <c r="M50" i="31" a="1"/>
  <c r="M50" i="31" s="1"/>
  <c r="M44" i="31" a="1"/>
  <c r="M44" i="31" s="1"/>
  <c r="K44" i="31" s="1"/>
  <c r="M130" i="31" a="1"/>
  <c r="M130" i="31" s="1"/>
  <c r="M131" i="31" a="1"/>
  <c r="M131" i="31" s="1"/>
  <c r="F51" i="31"/>
  <c r="H53" i="5"/>
  <c r="H62" i="5"/>
  <c r="H73" i="5"/>
  <c r="H132" i="7"/>
  <c r="H4" i="7"/>
  <c r="H5" i="8"/>
  <c r="H218" i="7"/>
  <c r="H28" i="5"/>
  <c r="L215" i="7" l="1"/>
  <c r="K5" i="8"/>
  <c r="K8" i="8" s="1"/>
  <c r="L5" i="8"/>
  <c r="L8" i="8" s="1"/>
  <c r="K215" i="7"/>
  <c r="F66" i="34" a="1"/>
  <c r="F66" i="34" s="1"/>
  <c r="B50" i="34"/>
  <c r="B54" i="34" s="1"/>
  <c r="D50" i="34"/>
  <c r="D54" i="34" s="1"/>
  <c r="E50" i="34"/>
  <c r="E54" i="34" s="1"/>
  <c r="C50" i="34"/>
  <c r="C54" i="34" s="1"/>
  <c r="C11" i="34"/>
  <c r="C51" i="34"/>
  <c r="C55" i="34" s="1"/>
  <c r="B51" i="34"/>
  <c r="B55" i="34" s="1"/>
  <c r="D51" i="34"/>
  <c r="D55" i="34" s="1"/>
  <c r="E51" i="34"/>
  <c r="E55" i="34" s="1"/>
  <c r="L218" i="7"/>
  <c r="L220" i="7" s="1"/>
  <c r="K218" i="7"/>
  <c r="K220" i="7" s="1"/>
  <c r="L4" i="7"/>
  <c r="L7" i="7" s="1"/>
  <c r="Z58" i="31" s="1" a="1"/>
  <c r="Z58" i="31" s="1"/>
  <c r="K4" i="7"/>
  <c r="K7" i="7" s="1"/>
  <c r="V58" i="31" s="1" a="1"/>
  <c r="V58" i="31" s="1"/>
  <c r="K132" i="7"/>
  <c r="L132" i="7"/>
  <c r="L28" i="5"/>
  <c r="K28" i="5"/>
  <c r="L73" i="5"/>
  <c r="K73" i="5"/>
  <c r="L62" i="5"/>
  <c r="K62" i="5"/>
  <c r="L53" i="5"/>
  <c r="K53" i="5"/>
  <c r="T228" i="31"/>
  <c r="Y228" i="31" s="1" a="1"/>
  <c r="Y228" i="31" s="1"/>
  <c r="AA228" i="31" s="1"/>
  <c r="Q221" i="31"/>
  <c r="R221" i="31" a="1"/>
  <c r="R221" i="31" s="1"/>
  <c r="X221" i="31"/>
  <c r="O207" i="31" a="1"/>
  <c r="O207" i="31" s="1"/>
  <c r="V207" i="31" a="1"/>
  <c r="V207" i="31" s="1"/>
  <c r="U207" i="31" a="1"/>
  <c r="U207" i="31" s="1"/>
  <c r="Z207" i="31" a="1"/>
  <c r="Z207" i="31" s="1"/>
  <c r="S207" i="31" a="1"/>
  <c r="S207" i="31" s="1"/>
  <c r="T200" i="31"/>
  <c r="Y200" i="31" s="1" a="1"/>
  <c r="Y200" i="31" s="1"/>
  <c r="AA200" i="31" s="1"/>
  <c r="Q193" i="31"/>
  <c r="R193" i="31" a="1"/>
  <c r="R193" i="31" s="1"/>
  <c r="T186" i="31"/>
  <c r="Y186" i="31" s="1" a="1"/>
  <c r="Y186" i="31" s="1"/>
  <c r="AA186" i="31" s="1"/>
  <c r="X193" i="31"/>
  <c r="T120" i="31"/>
  <c r="Y120" i="31" s="1" a="1"/>
  <c r="Y120" i="31" s="1"/>
  <c r="AA120" i="31" s="1"/>
  <c r="V56" i="31" a="1"/>
  <c r="V56" i="31" s="1"/>
  <c r="Z56" i="31" a="1"/>
  <c r="Z56" i="31" s="1"/>
  <c r="T51" i="31"/>
  <c r="Y51" i="31" s="1" a="1"/>
  <c r="Y51" i="31" s="1"/>
  <c r="AA51" i="31" s="1"/>
  <c r="O44" i="31" a="1"/>
  <c r="O44" i="31" s="1"/>
  <c r="Z44" i="31" a="1"/>
  <c r="Z44" i="31" s="1"/>
  <c r="S44" i="31" a="1"/>
  <c r="S44" i="31" s="1"/>
  <c r="U44" i="31" a="1"/>
  <c r="U44" i="31" s="1"/>
  <c r="V44" i="31" a="1"/>
  <c r="V44" i="31" s="1"/>
  <c r="AA169" i="31"/>
  <c r="AA168" i="31" s="1"/>
  <c r="X183" i="31"/>
  <c r="X197" i="31"/>
  <c r="B9" i="37" a="1"/>
  <c r="B9" i="37" s="1"/>
  <c r="K50" i="31"/>
  <c r="L222" i="31" a="1"/>
  <c r="L222" i="31" s="1"/>
  <c r="G222" i="31" a="1"/>
  <c r="G222" i="31" s="1"/>
  <c r="M222" i="31" a="1"/>
  <c r="M222" i="31" s="1"/>
  <c r="K222" i="31" s="1"/>
  <c r="Z222" i="31" s="1" a="1"/>
  <c r="Z222" i="31" s="1"/>
  <c r="I222" i="31" a="1"/>
  <c r="I222" i="31" s="1"/>
  <c r="H222" i="31" a="1"/>
  <c r="H222" i="31" s="1"/>
  <c r="L208" i="31" a="1"/>
  <c r="L208" i="31" s="1"/>
  <c r="I208" i="31" a="1"/>
  <c r="I208" i="31" s="1"/>
  <c r="G208" i="31" a="1"/>
  <c r="G208" i="31" s="1"/>
  <c r="M208" i="31" a="1"/>
  <c r="M208" i="31" s="1"/>
  <c r="K208" i="31" s="1"/>
  <c r="V208" i="31" s="1" a="1"/>
  <c r="V208" i="31" s="1"/>
  <c r="H208" i="31" a="1"/>
  <c r="H208" i="31" s="1"/>
  <c r="L194" i="31" a="1"/>
  <c r="L194" i="31" s="1"/>
  <c r="I194" i="31" a="1"/>
  <c r="I194" i="31" s="1"/>
  <c r="G194" i="31" a="1"/>
  <c r="G194" i="31" s="1"/>
  <c r="H194" i="31" a="1"/>
  <c r="H194" i="31" s="1"/>
  <c r="M194" i="31" a="1"/>
  <c r="M194" i="31" s="1"/>
  <c r="K194" i="31" s="1"/>
  <c r="U194" i="31" s="1" a="1"/>
  <c r="U194" i="31" s="1"/>
  <c r="D64" i="32"/>
  <c r="Q215" i="7"/>
  <c r="Q5" i="8"/>
  <c r="Q8" i="8" s="1"/>
  <c r="M5" i="8"/>
  <c r="O5" i="8"/>
  <c r="P5" i="8"/>
  <c r="P8" i="8" s="1"/>
  <c r="N5" i="8"/>
  <c r="P73" i="5"/>
  <c r="Q73" i="5"/>
  <c r="O73" i="5"/>
  <c r="P28" i="5"/>
  <c r="O28" i="5"/>
  <c r="Q28" i="5"/>
  <c r="P62" i="5"/>
  <c r="Q62" i="5"/>
  <c r="O62" i="5"/>
  <c r="Q53" i="5"/>
  <c r="O53" i="5"/>
  <c r="P53" i="5"/>
  <c r="P215" i="7"/>
  <c r="O63" i="7"/>
  <c r="Q75" i="7"/>
  <c r="P75" i="7"/>
  <c r="P218" i="7"/>
  <c r="P220" i="7" s="1"/>
  <c r="Q218" i="7"/>
  <c r="Q220" i="7" s="1"/>
  <c r="P132" i="7"/>
  <c r="Q132" i="7"/>
  <c r="P69" i="7"/>
  <c r="Q69" i="7"/>
  <c r="Q4" i="7"/>
  <c r="Q7" i="7" s="1"/>
  <c r="P4" i="7"/>
  <c r="P7" i="7" s="1"/>
  <c r="Q63" i="7"/>
  <c r="P63" i="7"/>
  <c r="N63" i="7"/>
  <c r="M63" i="7"/>
  <c r="M10" i="7"/>
  <c r="O56" i="31" s="1" a="1"/>
  <c r="O56" i="31" s="1"/>
  <c r="N10" i="7"/>
  <c r="S56" i="31" s="1" a="1"/>
  <c r="S56" i="31" s="1"/>
  <c r="O132" i="7"/>
  <c r="M132" i="7"/>
  <c r="N132" i="7"/>
  <c r="M215" i="7"/>
  <c r="O10" i="7"/>
  <c r="U56" i="31" s="1" a="1"/>
  <c r="U56" i="31" s="1"/>
  <c r="O75" i="7"/>
  <c r="M75" i="7"/>
  <c r="N75" i="7"/>
  <c r="O4" i="7"/>
  <c r="O7" i="7" s="1"/>
  <c r="U58" i="31" s="1" a="1"/>
  <c r="U58" i="31" s="1"/>
  <c r="M4" i="7"/>
  <c r="M7" i="7" s="1"/>
  <c r="O58" i="31" s="1" a="1"/>
  <c r="O58" i="31" s="1"/>
  <c r="N4" i="7"/>
  <c r="N7" i="7" s="1"/>
  <c r="S58" i="31" s="1" a="1"/>
  <c r="S58" i="31" s="1"/>
  <c r="N215" i="7"/>
  <c r="O215" i="7"/>
  <c r="M218" i="7"/>
  <c r="M220" i="7" s="1"/>
  <c r="N218" i="7"/>
  <c r="N220" i="7" s="1"/>
  <c r="O218" i="7"/>
  <c r="O220" i="7" s="1"/>
  <c r="O69" i="7"/>
  <c r="M69" i="7"/>
  <c r="N69" i="7"/>
  <c r="M73" i="5"/>
  <c r="N73" i="5"/>
  <c r="M53" i="5"/>
  <c r="N53" i="5"/>
  <c r="M62" i="5"/>
  <c r="N62" i="5"/>
  <c r="M28" i="5"/>
  <c r="N28" i="5"/>
  <c r="R197" i="31"/>
  <c r="Q197" i="31"/>
  <c r="M34" i="31" a="1"/>
  <c r="M34" i="31" s="1"/>
  <c r="K34" i="31" s="1"/>
  <c r="M129" i="31" a="1"/>
  <c r="M129" i="31" s="1"/>
  <c r="M43" i="31" a="1"/>
  <c r="M43" i="31" s="1"/>
  <c r="K43" i="31" s="1"/>
  <c r="L52" i="31" a="1"/>
  <c r="L52" i="31" s="1"/>
  <c r="G52" i="31" a="1"/>
  <c r="G52" i="31" s="1"/>
  <c r="H52" i="31" a="1"/>
  <c r="H52" i="31" s="1"/>
  <c r="I52" i="31" a="1"/>
  <c r="I52" i="31" s="1"/>
  <c r="J52" i="31" s="1"/>
  <c r="S32" i="10"/>
  <c r="T32" i="10"/>
  <c r="S33" i="10"/>
  <c r="T33" i="10"/>
  <c r="S29" i="10"/>
  <c r="T29" i="10"/>
  <c r="S5" i="10"/>
  <c r="M216" i="31" a="1"/>
  <c r="M216" i="31" s="1"/>
  <c r="K216" i="31" s="1"/>
  <c r="M214" i="31" a="1"/>
  <c r="M214" i="31" s="1"/>
  <c r="K214" i="31" s="1"/>
  <c r="N95" i="8"/>
  <c r="M95" i="8"/>
  <c r="H57" i="8"/>
  <c r="H55" i="8"/>
  <c r="H45" i="8"/>
  <c r="H42" i="8"/>
  <c r="H41" i="8"/>
  <c r="H182" i="7"/>
  <c r="H179" i="7"/>
  <c r="H176" i="7"/>
  <c r="H175" i="7"/>
  <c r="H173" i="7"/>
  <c r="R58" i="31" l="1" a="1"/>
  <c r="R58" i="31" s="1"/>
  <c r="T58" i="31" s="1"/>
  <c r="Y58" i="31" s="1" a="1"/>
  <c r="Y58" i="31" s="1"/>
  <c r="AA58" i="31" s="1"/>
  <c r="E66" i="34"/>
  <c r="C66" i="34"/>
  <c r="B66" i="34"/>
  <c r="K45" i="8"/>
  <c r="K48" i="8" s="1"/>
  <c r="L45" i="8"/>
  <c r="L48" i="8" s="1"/>
  <c r="K41" i="8"/>
  <c r="L41" i="8"/>
  <c r="K42" i="8"/>
  <c r="L42" i="8"/>
  <c r="L55" i="8"/>
  <c r="L58" i="8" s="1"/>
  <c r="K55" i="8"/>
  <c r="K57" i="8"/>
  <c r="L57" i="8"/>
  <c r="D66" i="34"/>
  <c r="W3" i="34"/>
  <c r="C63" i="34"/>
  <c r="E63" i="34"/>
  <c r="D63" i="34"/>
  <c r="B63" i="34"/>
  <c r="C20" i="34"/>
  <c r="O13" i="34"/>
  <c r="S7" i="7"/>
  <c r="W4" i="34"/>
  <c r="L173" i="7"/>
  <c r="K173" i="7"/>
  <c r="L175" i="7"/>
  <c r="K175" i="7"/>
  <c r="L176" i="7"/>
  <c r="K176" i="7"/>
  <c r="L179" i="7"/>
  <c r="K179" i="7"/>
  <c r="K182" i="7"/>
  <c r="L182" i="7"/>
  <c r="T221" i="31"/>
  <c r="Y221" i="31" s="1" a="1"/>
  <c r="Y221" i="31" s="1"/>
  <c r="AA221" i="31" s="1"/>
  <c r="P222" i="31"/>
  <c r="X222" i="31"/>
  <c r="W222" i="31"/>
  <c r="Q222" i="31"/>
  <c r="U222" i="31" a="1"/>
  <c r="U222" i="31" s="1"/>
  <c r="O222" i="31" a="1"/>
  <c r="O222" i="31" s="1"/>
  <c r="V222" i="31" a="1"/>
  <c r="V222" i="31" s="1"/>
  <c r="S222" i="31" a="1"/>
  <c r="S222" i="31" s="1"/>
  <c r="Z216" i="31" a="1"/>
  <c r="Z216" i="31" s="1"/>
  <c r="V216" i="31" a="1"/>
  <c r="V216" i="31" s="1"/>
  <c r="U216" i="31" a="1"/>
  <c r="U216" i="31" s="1"/>
  <c r="S216" i="31" a="1"/>
  <c r="S216" i="31" s="1"/>
  <c r="O216" i="31" a="1"/>
  <c r="O216" i="31" s="1"/>
  <c r="U214" i="31" a="1"/>
  <c r="U214" i="31" s="1"/>
  <c r="S214" i="31" a="1"/>
  <c r="S214" i="31" s="1"/>
  <c r="O214" i="31" a="1"/>
  <c r="O214" i="31" s="1"/>
  <c r="Z214" i="31" a="1"/>
  <c r="Z214" i="31" s="1"/>
  <c r="V214" i="31" a="1"/>
  <c r="V214" i="31" s="1"/>
  <c r="X208" i="31"/>
  <c r="P208" i="31"/>
  <c r="W208" i="31"/>
  <c r="Q208" i="31"/>
  <c r="Z208" i="31" a="1"/>
  <c r="Z208" i="31" s="1"/>
  <c r="O208" i="31" a="1"/>
  <c r="O208" i="31" s="1"/>
  <c r="U208" i="31" a="1"/>
  <c r="U208" i="31" s="1"/>
  <c r="S208" i="31" a="1"/>
  <c r="S208" i="31" s="1"/>
  <c r="X207" i="31"/>
  <c r="Q207" i="31"/>
  <c r="R207" i="31" a="1"/>
  <c r="R207" i="31" s="1"/>
  <c r="T193" i="31"/>
  <c r="Y193" i="31" s="1" a="1"/>
  <c r="Y193" i="31" s="1"/>
  <c r="AA193" i="31" s="1"/>
  <c r="V194" i="31" a="1"/>
  <c r="V194" i="31" s="1"/>
  <c r="Z194" i="31" a="1"/>
  <c r="Z194" i="31" s="1"/>
  <c r="X194" i="31"/>
  <c r="W194" i="31"/>
  <c r="Q194" i="31"/>
  <c r="P194" i="31"/>
  <c r="O194" i="31" a="1"/>
  <c r="O194" i="31" s="1"/>
  <c r="S194" i="31" a="1"/>
  <c r="S194" i="31" s="1"/>
  <c r="R56" i="31" a="1"/>
  <c r="R56" i="31" s="1"/>
  <c r="T56" i="31" s="1"/>
  <c r="Y56" i="31" s="1" a="1"/>
  <c r="Y56" i="31" s="1"/>
  <c r="AA56" i="31" s="1"/>
  <c r="Q52" i="31"/>
  <c r="W52" i="31"/>
  <c r="P52" i="31"/>
  <c r="X52" i="31"/>
  <c r="X42" i="31" s="1"/>
  <c r="X41" i="31" s="1"/>
  <c r="R44" i="31" a="1"/>
  <c r="R44" i="31" s="1"/>
  <c r="T44" i="31" s="1"/>
  <c r="Y44" i="31" s="1" a="1"/>
  <c r="Y44" i="31" s="1"/>
  <c r="AA44" i="31" s="1"/>
  <c r="S43" i="31" a="1"/>
  <c r="S43" i="31" s="1"/>
  <c r="Z43" i="31" a="1"/>
  <c r="Z43" i="31" s="1"/>
  <c r="O43" i="31" a="1"/>
  <c r="O43" i="31" s="1"/>
  <c r="V43" i="31" a="1"/>
  <c r="V43" i="31" s="1"/>
  <c r="U43" i="31" a="1"/>
  <c r="U43" i="31" s="1"/>
  <c r="Z34" i="31" a="1"/>
  <c r="Z34" i="31" s="1"/>
  <c r="V34" i="31" a="1"/>
  <c r="V34" i="31" s="1"/>
  <c r="O34" i="31" a="1"/>
  <c r="O34" i="31" s="1"/>
  <c r="U34" i="31" a="1"/>
  <c r="U34" i="31" s="1"/>
  <c r="S34" i="31" a="1"/>
  <c r="S34" i="31" s="1"/>
  <c r="Y225" i="31"/>
  <c r="T225" i="31"/>
  <c r="B10" i="37" a="1"/>
  <c r="B10" i="37" s="1"/>
  <c r="E10" i="37" s="1"/>
  <c r="E9" i="37"/>
  <c r="N8" i="8"/>
  <c r="O8" i="8"/>
  <c r="M8" i="8"/>
  <c r="S220" i="7"/>
  <c r="S215" i="7"/>
  <c r="S95" i="8"/>
  <c r="S69" i="7"/>
  <c r="S10" i="7"/>
  <c r="S63" i="7"/>
  <c r="S75" i="7"/>
  <c r="F222" i="31"/>
  <c r="J222" i="31"/>
  <c r="J208" i="31"/>
  <c r="F208" i="31"/>
  <c r="J194" i="31"/>
  <c r="F194" i="31"/>
  <c r="O41" i="8"/>
  <c r="N41" i="8"/>
  <c r="M41" i="8"/>
  <c r="P41" i="8"/>
  <c r="Q41" i="8"/>
  <c r="P55" i="8"/>
  <c r="M55" i="8"/>
  <c r="Q55" i="8"/>
  <c r="N55" i="8"/>
  <c r="O55" i="8"/>
  <c r="O57" i="8"/>
  <c r="N57" i="8"/>
  <c r="M57" i="8"/>
  <c r="Q57" i="8"/>
  <c r="P57" i="8"/>
  <c r="M42" i="8"/>
  <c r="P42" i="8"/>
  <c r="N42" i="8"/>
  <c r="Q42" i="8"/>
  <c r="O42" i="8"/>
  <c r="O45" i="8"/>
  <c r="O48" i="8" s="1"/>
  <c r="M45" i="8"/>
  <c r="Q45" i="8"/>
  <c r="Q48" i="8" s="1"/>
  <c r="P45" i="8"/>
  <c r="P48" i="8" s="1"/>
  <c r="N45" i="8"/>
  <c r="N48" i="8" s="1"/>
  <c r="P35" i="5"/>
  <c r="Q35" i="5"/>
  <c r="O35" i="5"/>
  <c r="Q175" i="7"/>
  <c r="P175" i="7"/>
  <c r="P179" i="7"/>
  <c r="Q179" i="7"/>
  <c r="P176" i="7"/>
  <c r="Q176" i="7"/>
  <c r="P182" i="7"/>
  <c r="Q182" i="7"/>
  <c r="Q173" i="7"/>
  <c r="P173" i="7"/>
  <c r="M173" i="7"/>
  <c r="N173" i="7"/>
  <c r="O173" i="7"/>
  <c r="O176" i="7"/>
  <c r="M176" i="7"/>
  <c r="N176" i="7"/>
  <c r="M179" i="7"/>
  <c r="O179" i="7"/>
  <c r="N179" i="7"/>
  <c r="O182" i="7"/>
  <c r="M182" i="7"/>
  <c r="N182" i="7"/>
  <c r="O175" i="7"/>
  <c r="M175" i="7"/>
  <c r="N175" i="7"/>
  <c r="M35" i="5"/>
  <c r="N35" i="5"/>
  <c r="T267" i="31"/>
  <c r="E58" i="32"/>
  <c r="F58" i="32"/>
  <c r="T265" i="31"/>
  <c r="F55" i="32"/>
  <c r="T28" i="10"/>
  <c r="T30" i="10" s="1"/>
  <c r="C57" i="32"/>
  <c r="C58" i="32"/>
  <c r="S28" i="10"/>
  <c r="S30" i="10" s="1"/>
  <c r="M146" i="31" a="1"/>
  <c r="M146" i="31" s="1"/>
  <c r="K146" i="31" s="1"/>
  <c r="M155" i="31" a="1"/>
  <c r="M155" i="31" s="1"/>
  <c r="K155" i="31" s="1"/>
  <c r="M137" i="31" a="1"/>
  <c r="M137" i="31" s="1"/>
  <c r="K137" i="31" s="1"/>
  <c r="M147" i="31" a="1"/>
  <c r="M147" i="31" s="1"/>
  <c r="K147" i="31" s="1"/>
  <c r="M156" i="31" a="1"/>
  <c r="M156" i="31" s="1"/>
  <c r="K156" i="31" s="1"/>
  <c r="M138" i="31" a="1"/>
  <c r="M138" i="31" s="1"/>
  <c r="K138" i="31" s="1"/>
  <c r="F52" i="31"/>
  <c r="S3" i="10"/>
  <c r="S42" i="10"/>
  <c r="T3" i="10"/>
  <c r="S38" i="10"/>
  <c r="T42" i="10"/>
  <c r="T4" i="10"/>
  <c r="S41" i="10"/>
  <c r="S47" i="10"/>
  <c r="T41" i="10"/>
  <c r="T47" i="10"/>
  <c r="S4" i="10"/>
  <c r="S48" i="10"/>
  <c r="T48" i="10"/>
  <c r="S43" i="10"/>
  <c r="T43" i="10"/>
  <c r="M181" i="8"/>
  <c r="N181" i="8"/>
  <c r="T34" i="10"/>
  <c r="S34" i="10"/>
  <c r="M20" i="8"/>
  <c r="N16" i="8"/>
  <c r="J34" i="10"/>
  <c r="K30" i="10"/>
  <c r="K34" i="10"/>
  <c r="J30" i="10"/>
  <c r="M91" i="8"/>
  <c r="N91" i="8"/>
  <c r="L34" i="10"/>
  <c r="W34" i="10" s="1"/>
  <c r="L30" i="10"/>
  <c r="W30" i="10" s="1"/>
  <c r="M28" i="8"/>
  <c r="N28" i="8"/>
  <c r="H40" i="8"/>
  <c r="M16" i="8"/>
  <c r="H162" i="7"/>
  <c r="H161" i="7"/>
  <c r="H159" i="7"/>
  <c r="H157" i="7"/>
  <c r="H144" i="7"/>
  <c r="H143" i="7"/>
  <c r="H128" i="7"/>
  <c r="W10" i="34" l="1"/>
  <c r="Z139" i="31" a="1"/>
  <c r="Z139" i="31" s="1"/>
  <c r="Z157" i="31" a="1"/>
  <c r="Z157" i="31" s="1"/>
  <c r="Z148" i="31" a="1"/>
  <c r="Z148" i="31" s="1"/>
  <c r="K40" i="8"/>
  <c r="K43" i="8" s="1"/>
  <c r="L40" i="8"/>
  <c r="L43" i="8" s="1"/>
  <c r="K58" i="8"/>
  <c r="K177" i="7"/>
  <c r="L177" i="7"/>
  <c r="W2" i="34"/>
  <c r="W8" i="34" s="1"/>
  <c r="E47" i="34"/>
  <c r="K183" i="7"/>
  <c r="L183" i="7"/>
  <c r="L128" i="7"/>
  <c r="K128" i="7"/>
  <c r="K143" i="7"/>
  <c r="L143" i="7"/>
  <c r="K144" i="7"/>
  <c r="L144" i="7"/>
  <c r="K157" i="7"/>
  <c r="L157" i="7"/>
  <c r="M99" i="31" a="1"/>
  <c r="M99" i="31" s="1"/>
  <c r="K99" i="31" s="1"/>
  <c r="S99" i="31" s="1" a="1"/>
  <c r="S99" i="31" s="1"/>
  <c r="K159" i="7"/>
  <c r="L159" i="7"/>
  <c r="M101" i="31" a="1"/>
  <c r="M101" i="31" s="1"/>
  <c r="K101" i="31" s="1"/>
  <c r="S101" i="31" s="1" a="1"/>
  <c r="S101" i="31" s="1"/>
  <c r="L161" i="7"/>
  <c r="K161" i="7"/>
  <c r="L162" i="7"/>
  <c r="K162" i="7"/>
  <c r="Z211" i="31"/>
  <c r="R222" i="31" a="1"/>
  <c r="R222" i="31" s="1"/>
  <c r="T222" i="31" s="1"/>
  <c r="Y222" i="31" s="1" a="1"/>
  <c r="Y222" i="31" s="1"/>
  <c r="AA222" i="31" s="1"/>
  <c r="R216" i="31" a="1"/>
  <c r="R216" i="31" s="1"/>
  <c r="T216" i="31" s="1"/>
  <c r="Y216" i="31" s="1" a="1"/>
  <c r="Y216" i="31" s="1"/>
  <c r="AA216" i="31" s="1"/>
  <c r="T207" i="31"/>
  <c r="Y207" i="31" s="1" a="1"/>
  <c r="Y207" i="31" s="1"/>
  <c r="AA207" i="31" s="1"/>
  <c r="X214" i="31"/>
  <c r="R214" i="31" a="1"/>
  <c r="R214" i="31" s="1"/>
  <c r="Q214" i="31"/>
  <c r="R208" i="31" a="1"/>
  <c r="R208" i="31" s="1"/>
  <c r="T208" i="31" s="1"/>
  <c r="Y208" i="31" s="1" a="1"/>
  <c r="Y208" i="31" s="1"/>
  <c r="AA208" i="31" s="1"/>
  <c r="R194" i="31" a="1"/>
  <c r="R194" i="31" s="1"/>
  <c r="T194" i="31" s="1"/>
  <c r="Y194" i="31" s="1" a="1"/>
  <c r="Y194" i="31" s="1"/>
  <c r="AA194" i="31" s="1"/>
  <c r="Z156" i="31" a="1"/>
  <c r="Z156" i="31" s="1"/>
  <c r="V156" i="31" a="1"/>
  <c r="V156" i="31" s="1"/>
  <c r="U156" i="31" a="1"/>
  <c r="U156" i="31" s="1"/>
  <c r="S156" i="31" a="1"/>
  <c r="S156" i="31" s="1"/>
  <c r="O156" i="31" a="1"/>
  <c r="O156" i="31" s="1"/>
  <c r="Z155" i="31" a="1"/>
  <c r="Z155" i="31" s="1"/>
  <c r="V155" i="31" a="1"/>
  <c r="V155" i="31" s="1"/>
  <c r="U155" i="31" a="1"/>
  <c r="U155" i="31" s="1"/>
  <c r="O155" i="31" a="1"/>
  <c r="O155" i="31" s="1"/>
  <c r="S155" i="31" a="1"/>
  <c r="S155" i="31" s="1"/>
  <c r="Z147" i="31" a="1"/>
  <c r="Z147" i="31" s="1"/>
  <c r="O147" i="31" a="1"/>
  <c r="O147" i="31" s="1"/>
  <c r="S147" i="31" a="1"/>
  <c r="S147" i="31" s="1"/>
  <c r="V147" i="31" a="1"/>
  <c r="V147" i="31" s="1"/>
  <c r="U147" i="31" a="1"/>
  <c r="U147" i="31" s="1"/>
  <c r="Z146" i="31" a="1"/>
  <c r="Z146" i="31" s="1"/>
  <c r="V146" i="31" a="1"/>
  <c r="V146" i="31" s="1"/>
  <c r="S146" i="31" a="1"/>
  <c r="S146" i="31" s="1"/>
  <c r="O146" i="31" a="1"/>
  <c r="O146" i="31" s="1"/>
  <c r="U146" i="31" a="1"/>
  <c r="U146" i="31" s="1"/>
  <c r="Z137" i="31" a="1"/>
  <c r="Z137" i="31" s="1"/>
  <c r="V137" i="31" a="1"/>
  <c r="V137" i="31" s="1"/>
  <c r="U137" i="31" a="1"/>
  <c r="U137" i="31" s="1"/>
  <c r="S137" i="31" a="1"/>
  <c r="S137" i="31" s="1"/>
  <c r="O137" i="31" a="1"/>
  <c r="O137" i="31" s="1"/>
  <c r="V138" i="31" a="1"/>
  <c r="V138" i="31" s="1"/>
  <c r="U138" i="31" a="1"/>
  <c r="U138" i="31" s="1"/>
  <c r="S138" i="31" a="1"/>
  <c r="S138" i="31" s="1"/>
  <c r="O138" i="31" a="1"/>
  <c r="O138" i="31" s="1"/>
  <c r="Z138" i="31" a="1"/>
  <c r="Z138" i="31" s="1"/>
  <c r="R43" i="31" a="1"/>
  <c r="R43" i="31" s="1"/>
  <c r="T43" i="31" s="1"/>
  <c r="Y43" i="31" s="1" a="1"/>
  <c r="Y43" i="31" s="1"/>
  <c r="AA43" i="31" s="1"/>
  <c r="AA197" i="31"/>
  <c r="Y265" i="31" a="1"/>
  <c r="Y265" i="31" s="1"/>
  <c r="AA265" i="31" s="1"/>
  <c r="Y267" i="31" a="1"/>
  <c r="Y267" i="31" s="1"/>
  <c r="AA267" i="31" s="1"/>
  <c r="Y197" i="31"/>
  <c r="AA225" i="31"/>
  <c r="S8" i="8"/>
  <c r="V211" i="31"/>
  <c r="W42" i="31"/>
  <c r="W41" i="31" s="1"/>
  <c r="B11" i="37" a="1"/>
  <c r="B11" i="37" s="1"/>
  <c r="Q111" i="31"/>
  <c r="R111" i="31" a="1"/>
  <c r="R111" i="31" s="1"/>
  <c r="U110" i="31"/>
  <c r="S181" i="8"/>
  <c r="S16" i="8"/>
  <c r="S28" i="8"/>
  <c r="S91" i="8"/>
  <c r="M223" i="31" a="1"/>
  <c r="M223" i="31" s="1"/>
  <c r="H223" i="31" a="1"/>
  <c r="H223" i="31" s="1"/>
  <c r="G223" i="31" a="1"/>
  <c r="G223" i="31" s="1"/>
  <c r="L223" i="31" a="1"/>
  <c r="L223" i="31" s="1"/>
  <c r="I223" i="31" a="1"/>
  <c r="I223" i="31" s="1"/>
  <c r="M209" i="31" a="1"/>
  <c r="M209" i="31" s="1"/>
  <c r="K209" i="31" s="1"/>
  <c r="V209" i="31" s="1" a="1"/>
  <c r="V209" i="31" s="1"/>
  <c r="L209" i="31" a="1"/>
  <c r="L209" i="31" s="1"/>
  <c r="H209" i="31" a="1"/>
  <c r="H209" i="31" s="1"/>
  <c r="G209" i="31" a="1"/>
  <c r="G209" i="31" s="1"/>
  <c r="I209" i="31" a="1"/>
  <c r="I209" i="31" s="1"/>
  <c r="M195" i="31" a="1"/>
  <c r="M195" i="31" s="1"/>
  <c r="K195" i="31" s="1"/>
  <c r="Z195" i="31" s="1" a="1"/>
  <c r="Z195" i="31" s="1"/>
  <c r="L195" i="31" a="1"/>
  <c r="L195" i="31" s="1"/>
  <c r="G195" i="31" a="1"/>
  <c r="G195" i="31" s="1"/>
  <c r="I195" i="31" a="1"/>
  <c r="I195" i="31" s="1"/>
  <c r="H195" i="31" a="1"/>
  <c r="H195" i="31" s="1"/>
  <c r="N66" i="30"/>
  <c r="O66" i="30" s="1"/>
  <c r="N68" i="30"/>
  <c r="O68" i="30" s="1"/>
  <c r="Q58" i="8"/>
  <c r="P58" i="8"/>
  <c r="O40" i="8"/>
  <c r="O43" i="8" s="1"/>
  <c r="Q40" i="8"/>
  <c r="Q43" i="8" s="1"/>
  <c r="P40" i="8"/>
  <c r="P43" i="8" s="1"/>
  <c r="M40" i="8"/>
  <c r="M43" i="8" s="1"/>
  <c r="N40" i="8"/>
  <c r="P177" i="7"/>
  <c r="Q177" i="7"/>
  <c r="Q183" i="7"/>
  <c r="P183" i="7"/>
  <c r="Q128" i="7"/>
  <c r="P128" i="7"/>
  <c r="P157" i="7"/>
  <c r="Q158" i="7"/>
  <c r="Q143" i="7"/>
  <c r="P143" i="7"/>
  <c r="P144" i="7"/>
  <c r="Q144" i="7"/>
  <c r="P159" i="7"/>
  <c r="Q160" i="7"/>
  <c r="P161" i="7"/>
  <c r="Q162" i="7"/>
  <c r="P162" i="7"/>
  <c r="P42" i="31"/>
  <c r="P41" i="31" s="1"/>
  <c r="Q42" i="31"/>
  <c r="Q41" i="31" s="1"/>
  <c r="O143" i="7"/>
  <c r="M143" i="7"/>
  <c r="N143" i="7"/>
  <c r="M157" i="7"/>
  <c r="N157" i="7"/>
  <c r="O157" i="7"/>
  <c r="M159" i="7"/>
  <c r="N159" i="7"/>
  <c r="O159" i="7"/>
  <c r="O161" i="7"/>
  <c r="M161" i="7"/>
  <c r="N161" i="7"/>
  <c r="M162" i="7"/>
  <c r="O162" i="7"/>
  <c r="N162" i="7"/>
  <c r="O128" i="7"/>
  <c r="M128" i="7"/>
  <c r="N128" i="7"/>
  <c r="O144" i="7"/>
  <c r="M144" i="7"/>
  <c r="N144" i="7"/>
  <c r="O183" i="7"/>
  <c r="M183" i="7"/>
  <c r="N177" i="7"/>
  <c r="N183" i="7"/>
  <c r="O177" i="7"/>
  <c r="M177" i="7"/>
  <c r="T268" i="31"/>
  <c r="E57" i="32"/>
  <c r="F57" i="32"/>
  <c r="E55" i="32"/>
  <c r="T258" i="31"/>
  <c r="T270" i="31"/>
  <c r="F56" i="32"/>
  <c r="E56" i="32"/>
  <c r="R34" i="31" a="1"/>
  <c r="R34" i="31" s="1"/>
  <c r="U211" i="31"/>
  <c r="C56" i="32"/>
  <c r="C77" i="32" s="1"/>
  <c r="M97" i="31" a="1"/>
  <c r="M97" i="31" s="1"/>
  <c r="K97" i="31" s="1"/>
  <c r="M103" i="31" a="1"/>
  <c r="M103" i="31" s="1"/>
  <c r="K103" i="31" s="1"/>
  <c r="M98" i="31" a="1"/>
  <c r="M98" i="31" s="1"/>
  <c r="M100" i="31" a="1"/>
  <c r="M100" i="31" s="1"/>
  <c r="K100" i="31" s="1"/>
  <c r="M102" i="31" a="1"/>
  <c r="M102" i="31" s="1"/>
  <c r="K102" i="31" s="1"/>
  <c r="M145" i="31" a="1"/>
  <c r="M145" i="31" s="1"/>
  <c r="K145" i="31" s="1"/>
  <c r="M154" i="31" a="1"/>
  <c r="M154" i="31" s="1"/>
  <c r="K154" i="31" s="1"/>
  <c r="M136" i="31" a="1"/>
  <c r="M136" i="31" s="1"/>
  <c r="K136" i="31" s="1"/>
  <c r="O58" i="8"/>
  <c r="M58" i="8"/>
  <c r="M48" i="8"/>
  <c r="S48" i="8" s="1"/>
  <c r="N20" i="8"/>
  <c r="S20" i="8" s="1"/>
  <c r="N58" i="8"/>
  <c r="O211" i="31"/>
  <c r="O14" i="34" l="1"/>
  <c r="I19" i="29" s="1"/>
  <c r="O148" i="31" a="1"/>
  <c r="O148" i="31" s="1"/>
  <c r="O157" i="31" a="1"/>
  <c r="O157" i="31" s="1"/>
  <c r="O139" i="31" a="1"/>
  <c r="O139" i="31" s="1"/>
  <c r="U157" i="31" a="1"/>
  <c r="U157" i="31" s="1"/>
  <c r="U148" i="31" a="1"/>
  <c r="U148" i="31" s="1"/>
  <c r="U139" i="31" a="1"/>
  <c r="U139" i="31" s="1"/>
  <c r="S139" i="31" a="1"/>
  <c r="S139" i="31" s="1"/>
  <c r="S148" i="31" a="1"/>
  <c r="S148" i="31" s="1"/>
  <c r="S157" i="31" a="1"/>
  <c r="S157" i="31" s="1"/>
  <c r="V157" i="31" a="1"/>
  <c r="V157" i="31" s="1"/>
  <c r="V148" i="31" a="1"/>
  <c r="V148" i="31" s="1"/>
  <c r="V139" i="31" a="1"/>
  <c r="V139" i="31" s="1"/>
  <c r="Z101" i="31" a="1"/>
  <c r="Z101" i="31" s="1"/>
  <c r="V99" i="31" a="1"/>
  <c r="V99" i="31" s="1"/>
  <c r="Z99" i="31" a="1"/>
  <c r="Z99" i="31" s="1"/>
  <c r="O101" i="31" a="1"/>
  <c r="O101" i="31" s="1"/>
  <c r="U101" i="31" a="1"/>
  <c r="U101" i="31" s="1"/>
  <c r="V101" i="31" a="1"/>
  <c r="V101" i="31" s="1"/>
  <c r="X101" i="31" s="1"/>
  <c r="E18" i="34"/>
  <c r="L163" i="7"/>
  <c r="K163" i="7"/>
  <c r="O99" i="31" a="1"/>
  <c r="O99" i="31" s="1"/>
  <c r="U99" i="31" a="1"/>
  <c r="U99" i="31" s="1"/>
  <c r="L147" i="7"/>
  <c r="K147" i="7"/>
  <c r="T214" i="31"/>
  <c r="Y214" i="31" s="1" a="1"/>
  <c r="Y214" i="31" s="1"/>
  <c r="AA214" i="31" s="1"/>
  <c r="X223" i="31"/>
  <c r="Q223" i="31"/>
  <c r="P223" i="31"/>
  <c r="W223" i="31"/>
  <c r="X209" i="31"/>
  <c r="W209" i="31"/>
  <c r="Q209" i="31"/>
  <c r="P209" i="31"/>
  <c r="O209" i="31" a="1"/>
  <c r="O209" i="31" s="1"/>
  <c r="U209" i="31" a="1"/>
  <c r="U209" i="31" s="1"/>
  <c r="Z209" i="31" a="1"/>
  <c r="Z209" i="31" s="1"/>
  <c r="S209" i="31" a="1"/>
  <c r="S209" i="31" s="1"/>
  <c r="O195" i="31" a="1"/>
  <c r="O195" i="31" s="1"/>
  <c r="S195" i="31" a="1"/>
  <c r="S195" i="31" s="1"/>
  <c r="Q195" i="31"/>
  <c r="X195" i="31"/>
  <c r="W195" i="31"/>
  <c r="P195" i="31"/>
  <c r="U195" i="31" a="1"/>
  <c r="U195" i="31" s="1"/>
  <c r="V195" i="31" a="1"/>
  <c r="V195" i="31" s="1"/>
  <c r="R156" i="31" a="1"/>
  <c r="R156" i="31" s="1"/>
  <c r="T156" i="31" s="1"/>
  <c r="Y156" i="31" s="1" a="1"/>
  <c r="Y156" i="31" s="1"/>
  <c r="AA156" i="31" s="1"/>
  <c r="R155" i="31" a="1"/>
  <c r="R155" i="31" s="1"/>
  <c r="T155" i="31" s="1"/>
  <c r="Y155" i="31" s="1" a="1"/>
  <c r="Y155" i="31" s="1"/>
  <c r="AA155" i="31" s="1"/>
  <c r="Z154" i="31" a="1"/>
  <c r="Z154" i="31" s="1"/>
  <c r="Z153" i="31" s="1"/>
  <c r="V154" i="31" a="1"/>
  <c r="V154" i="31" s="1"/>
  <c r="U154" i="31" a="1"/>
  <c r="U154" i="31" s="1"/>
  <c r="S154" i="31" a="1"/>
  <c r="S154" i="31" s="1"/>
  <c r="O154" i="31" a="1"/>
  <c r="O154" i="31" s="1"/>
  <c r="R147" i="31" a="1"/>
  <c r="R147" i="31" s="1"/>
  <c r="T147" i="31" s="1"/>
  <c r="Y147" i="31" s="1" a="1"/>
  <c r="Y147" i="31" s="1"/>
  <c r="AA147" i="31" s="1"/>
  <c r="Z145" i="31" a="1"/>
  <c r="Z145" i="31" s="1"/>
  <c r="Z144" i="31" s="1"/>
  <c r="O145" i="31" a="1"/>
  <c r="O145" i="31" s="1"/>
  <c r="V145" i="31" a="1"/>
  <c r="V145" i="31" s="1"/>
  <c r="U145" i="31" a="1"/>
  <c r="U145" i="31" s="1"/>
  <c r="S145" i="31" a="1"/>
  <c r="S145" i="31" s="1"/>
  <c r="R146" i="31" a="1"/>
  <c r="R146" i="31" s="1"/>
  <c r="T146" i="31" s="1"/>
  <c r="Y146" i="31" s="1" a="1"/>
  <c r="Y146" i="31" s="1"/>
  <c r="AA146" i="31" s="1"/>
  <c r="R138" i="31" a="1"/>
  <c r="R138" i="31" s="1"/>
  <c r="T138" i="31" s="1"/>
  <c r="Y138" i="31" s="1" a="1"/>
  <c r="Y138" i="31" s="1"/>
  <c r="AA138" i="31" s="1"/>
  <c r="R137" i="31" a="1"/>
  <c r="R137" i="31" s="1"/>
  <c r="T137" i="31" s="1"/>
  <c r="Y137" i="31" s="1" a="1"/>
  <c r="Y137" i="31" s="1"/>
  <c r="AA137" i="31" s="1"/>
  <c r="Z136" i="31" a="1"/>
  <c r="Z136" i="31" s="1"/>
  <c r="Z135" i="31" s="1"/>
  <c r="U136" i="31" a="1"/>
  <c r="U136" i="31" s="1"/>
  <c r="V136" i="31" a="1"/>
  <c r="V136" i="31" s="1"/>
  <c r="S136" i="31" a="1"/>
  <c r="S136" i="31" s="1"/>
  <c r="O136" i="31" a="1"/>
  <c r="O136" i="31" s="1"/>
  <c r="Z103" i="31" a="1"/>
  <c r="Z103" i="31" s="1"/>
  <c r="V103" i="31" a="1"/>
  <c r="V103" i="31" s="1"/>
  <c r="X103" i="31" s="1"/>
  <c r="U103" i="31" a="1"/>
  <c r="U103" i="31" s="1"/>
  <c r="S103" i="31" a="1"/>
  <c r="S103" i="31" s="1"/>
  <c r="O103" i="31" a="1"/>
  <c r="O103" i="31" s="1"/>
  <c r="Q103" i="31" s="1"/>
  <c r="Z102" i="31" a="1"/>
  <c r="Z102" i="31" s="1"/>
  <c r="V102" i="31" a="1"/>
  <c r="V102" i="31" s="1"/>
  <c r="X102" i="31" s="1"/>
  <c r="U102" i="31" a="1"/>
  <c r="U102" i="31" s="1"/>
  <c r="S102" i="31" a="1"/>
  <c r="S102" i="31" s="1"/>
  <c r="O102" i="31" a="1"/>
  <c r="O102" i="31" s="1"/>
  <c r="Q102" i="31" s="1"/>
  <c r="Z100" i="31" a="1"/>
  <c r="Z100" i="31" s="1"/>
  <c r="V100" i="31" a="1"/>
  <c r="V100" i="31" s="1"/>
  <c r="S100" i="31" a="1"/>
  <c r="S100" i="31" s="1"/>
  <c r="O100" i="31" a="1"/>
  <c r="O100" i="31" s="1"/>
  <c r="Q100" i="31" s="1"/>
  <c r="U100" i="31" a="1"/>
  <c r="U100" i="31" s="1"/>
  <c r="Z97" i="31" a="1"/>
  <c r="Z97" i="31" s="1"/>
  <c r="V97" i="31" a="1"/>
  <c r="V97" i="31" s="1"/>
  <c r="X97" i="31" s="1"/>
  <c r="U97" i="31" a="1"/>
  <c r="U97" i="31" s="1"/>
  <c r="S97" i="31" a="1"/>
  <c r="S97" i="31" s="1"/>
  <c r="O97" i="31" a="1"/>
  <c r="O97" i="31" s="1"/>
  <c r="Q97" i="31" s="1"/>
  <c r="Y270" i="31" a="1"/>
  <c r="Y270" i="31" s="1"/>
  <c r="AA270" i="31" s="1"/>
  <c r="AA269" i="31" s="1"/>
  <c r="Y268" i="31" a="1"/>
  <c r="Y268" i="31" s="1"/>
  <c r="AA268" i="31" s="1"/>
  <c r="AA266" i="31" s="1"/>
  <c r="S211" i="31"/>
  <c r="K223" i="31"/>
  <c r="T257" i="31"/>
  <c r="N60" i="30" s="1"/>
  <c r="O60" i="30" s="1"/>
  <c r="Y258" i="31" a="1"/>
  <c r="Y258" i="31" s="1"/>
  <c r="X211" i="31"/>
  <c r="B12" i="37" a="1"/>
  <c r="B12" i="37" s="1"/>
  <c r="E12" i="37" s="1"/>
  <c r="E11" i="37"/>
  <c r="E41" i="32"/>
  <c r="E61" i="32" s="1"/>
  <c r="D41" i="32"/>
  <c r="D61" i="32" s="1"/>
  <c r="S110" i="31"/>
  <c r="T111" i="31"/>
  <c r="S177" i="7"/>
  <c r="S183" i="7"/>
  <c r="K98" i="31"/>
  <c r="S58" i="8"/>
  <c r="O110" i="31"/>
  <c r="O119" i="31"/>
  <c r="S183" i="31"/>
  <c r="F223" i="31"/>
  <c r="J223" i="31"/>
  <c r="J209" i="31"/>
  <c r="F209" i="31"/>
  <c r="J195" i="31"/>
  <c r="F195" i="31"/>
  <c r="N71" i="30"/>
  <c r="O71" i="30" s="1"/>
  <c r="N69" i="30"/>
  <c r="O69" i="30" s="1"/>
  <c r="O183" i="31"/>
  <c r="Q211" i="31"/>
  <c r="P163" i="7"/>
  <c r="Q163" i="7"/>
  <c r="P147" i="7"/>
  <c r="Q147" i="7"/>
  <c r="Q110" i="31"/>
  <c r="T34" i="31"/>
  <c r="M163" i="7"/>
  <c r="M147" i="7"/>
  <c r="O163" i="7"/>
  <c r="N163" i="7"/>
  <c r="N147" i="7"/>
  <c r="O147" i="7"/>
  <c r="E77" i="32"/>
  <c r="F77" i="32"/>
  <c r="S119" i="31"/>
  <c r="T262" i="31"/>
  <c r="N43" i="8"/>
  <c r="S43" i="8" s="1"/>
  <c r="H127" i="7"/>
  <c r="H150" i="7"/>
  <c r="H134" i="7"/>
  <c r="H123" i="7"/>
  <c r="H124" i="7"/>
  <c r="O15" i="34" l="1"/>
  <c r="R101" i="31" a="1"/>
  <c r="R101" i="31" s="1"/>
  <c r="Q101" i="31"/>
  <c r="X99" i="31"/>
  <c r="R99" i="31" a="1"/>
  <c r="R99" i="31" s="1"/>
  <c r="Q99" i="31"/>
  <c r="X100" i="31"/>
  <c r="V144" i="31"/>
  <c r="V153" i="31"/>
  <c r="V135" i="31"/>
  <c r="R139" i="31" a="1"/>
  <c r="R139" i="31" s="1"/>
  <c r="T139" i="31" s="1"/>
  <c r="Y139" i="31" s="1" a="1"/>
  <c r="Y139" i="31" s="1"/>
  <c r="AA139" i="31" s="1"/>
  <c r="R157" i="31" a="1"/>
  <c r="R157" i="31" s="1"/>
  <c r="T157" i="31" s="1"/>
  <c r="Y157" i="31" s="1" a="1"/>
  <c r="Y157" i="31" s="1"/>
  <c r="AA157" i="31" s="1"/>
  <c r="R148" i="31" a="1"/>
  <c r="R148" i="31" s="1"/>
  <c r="T148" i="31" s="1"/>
  <c r="Y148" i="31" s="1" a="1"/>
  <c r="Y148" i="31" s="1"/>
  <c r="AA148" i="31" s="1"/>
  <c r="F17" i="34"/>
  <c r="C60" i="34" s="1"/>
  <c r="E14" i="34"/>
  <c r="F14" i="34" s="1"/>
  <c r="E13" i="34"/>
  <c r="E10" i="34"/>
  <c r="E15" i="34"/>
  <c r="F15" i="34" s="1"/>
  <c r="E12" i="34"/>
  <c r="F12" i="34" s="1"/>
  <c r="E11" i="34"/>
  <c r="F11" i="34" s="1"/>
  <c r="E16" i="34"/>
  <c r="F16" i="34" s="1"/>
  <c r="L124" i="7"/>
  <c r="K124" i="7"/>
  <c r="L123" i="7"/>
  <c r="K123" i="7"/>
  <c r="K134" i="7"/>
  <c r="K135" i="7" s="1"/>
  <c r="L134" i="7"/>
  <c r="L135" i="7" s="1"/>
  <c r="L150" i="7"/>
  <c r="K150" i="7"/>
  <c r="K127" i="7"/>
  <c r="K129" i="7" s="1"/>
  <c r="L127" i="7"/>
  <c r="L129" i="7" s="1"/>
  <c r="Y269" i="31"/>
  <c r="Y266" i="31"/>
  <c r="Z223" i="31" a="1"/>
  <c r="Z223" i="31" s="1"/>
  <c r="O223" i="31" a="1"/>
  <c r="O223" i="31" s="1"/>
  <c r="V223" i="31" a="1"/>
  <c r="V223" i="31" s="1"/>
  <c r="U223" i="31" a="1"/>
  <c r="U223" i="31" s="1"/>
  <c r="S223" i="31" a="1"/>
  <c r="S223" i="31" s="1"/>
  <c r="R209" i="31" a="1"/>
  <c r="R209" i="31" s="1"/>
  <c r="T209" i="31" s="1"/>
  <c r="Y209" i="31" s="1" a="1"/>
  <c r="Y209" i="31" s="1"/>
  <c r="AA209" i="31" s="1"/>
  <c r="R195" i="31" a="1"/>
  <c r="R195" i="31" s="1"/>
  <c r="T195" i="31" s="1"/>
  <c r="Y195" i="31" s="1" a="1"/>
  <c r="Y195" i="31" s="1"/>
  <c r="AA195" i="31" s="1"/>
  <c r="R154" i="31" a="1"/>
  <c r="R154" i="31" s="1"/>
  <c r="T154" i="31" s="1"/>
  <c r="Y154" i="31" s="1" a="1"/>
  <c r="Y154" i="31" s="1"/>
  <c r="AA154" i="31" s="1"/>
  <c r="R145" i="31" a="1"/>
  <c r="R145" i="31" s="1"/>
  <c r="T145" i="31" s="1"/>
  <c r="Y145" i="31" s="1" a="1"/>
  <c r="Y145" i="31" s="1"/>
  <c r="AA145" i="31" s="1"/>
  <c r="R136" i="31" a="1"/>
  <c r="R136" i="31" s="1"/>
  <c r="T136" i="31" s="1"/>
  <c r="Y136" i="31" s="1" a="1"/>
  <c r="Y136" i="31" s="1"/>
  <c r="AA136" i="31" s="1"/>
  <c r="R102" i="31" a="1"/>
  <c r="R102" i="31" s="1"/>
  <c r="T102" i="31" s="1"/>
  <c r="Y102" i="31" s="1" a="1"/>
  <c r="Y102" i="31" s="1"/>
  <c r="AA102" i="31" s="1"/>
  <c r="R103" i="31" a="1"/>
  <c r="R103" i="31" s="1"/>
  <c r="T103" i="31" s="1"/>
  <c r="Y103" i="31" s="1" a="1"/>
  <c r="Y103" i="31" s="1"/>
  <c r="AA103" i="31" s="1"/>
  <c r="R100" i="31" a="1"/>
  <c r="R100" i="31" s="1"/>
  <c r="T100" i="31" s="1"/>
  <c r="Y100" i="31" s="1" a="1"/>
  <c r="Y100" i="31" s="1"/>
  <c r="Z98" i="31" a="1"/>
  <c r="Z98" i="31" s="1"/>
  <c r="Z96" i="31" s="1"/>
  <c r="Z95" i="31" s="1"/>
  <c r="V98" i="31" a="1"/>
  <c r="V98" i="31" s="1"/>
  <c r="U98" i="31" a="1"/>
  <c r="U98" i="31" s="1"/>
  <c r="U96" i="31" s="1"/>
  <c r="U95" i="31" s="1"/>
  <c r="O98" i="31" a="1"/>
  <c r="O98" i="31" s="1"/>
  <c r="S98" i="31" a="1"/>
  <c r="S98" i="31" s="1"/>
  <c r="R97" i="31" a="1"/>
  <c r="R97" i="31" s="1"/>
  <c r="T97" i="31" s="1"/>
  <c r="Y97" i="31" s="1" a="1"/>
  <c r="Y97" i="31" s="1"/>
  <c r="AA97" i="31" s="1"/>
  <c r="R110" i="31"/>
  <c r="Y34" i="31" a="1"/>
  <c r="Y34" i="31" s="1"/>
  <c r="AA34" i="31" s="1"/>
  <c r="Y111" i="31" a="1"/>
  <c r="Y111" i="31" s="1"/>
  <c r="AA111" i="31" s="1"/>
  <c r="D19" i="32"/>
  <c r="B92" i="49" s="1"/>
  <c r="N64" i="30" a="1"/>
  <c r="N64" i="30" s="1"/>
  <c r="O64" i="30" s="1"/>
  <c r="Y262" i="31" a="1"/>
  <c r="Y262" i="31" s="1"/>
  <c r="Y257" i="31"/>
  <c r="AA258" i="31"/>
  <c r="AA257" i="31" s="1"/>
  <c r="Z134" i="31"/>
  <c r="X119" i="31"/>
  <c r="X109" i="31" s="1"/>
  <c r="B13" i="37" a="1"/>
  <c r="B13" i="37" s="1"/>
  <c r="E13" i="37" s="1"/>
  <c r="S147" i="7"/>
  <c r="S163" i="7"/>
  <c r="I224" i="31" a="1"/>
  <c r="I224" i="31" s="1"/>
  <c r="H224" i="31" a="1"/>
  <c r="H224" i="31" s="1"/>
  <c r="G224" i="31" a="1"/>
  <c r="G224" i="31" s="1"/>
  <c r="L224" i="31" a="1"/>
  <c r="L224" i="31" s="1"/>
  <c r="M224" i="31" a="1"/>
  <c r="M224" i="31" s="1"/>
  <c r="M210" i="31" a="1"/>
  <c r="M210" i="31" s="1"/>
  <c r="K210" i="31" s="1"/>
  <c r="U210" i="31" s="1" a="1"/>
  <c r="U210" i="31" s="1"/>
  <c r="I210" i="31" a="1"/>
  <c r="I210" i="31" s="1"/>
  <c r="H210" i="31" a="1"/>
  <c r="H210" i="31" s="1"/>
  <c r="G210" i="31" a="1"/>
  <c r="G210" i="31" s="1"/>
  <c r="L210" i="31" a="1"/>
  <c r="L210" i="31" s="1"/>
  <c r="M196" i="31" a="1"/>
  <c r="M196" i="31" s="1"/>
  <c r="K196" i="31" s="1"/>
  <c r="Z196" i="31" s="1" a="1"/>
  <c r="Z196" i="31" s="1"/>
  <c r="L196" i="31" a="1"/>
  <c r="L196" i="31" s="1"/>
  <c r="H196" i="31" a="1"/>
  <c r="H196" i="31" s="1"/>
  <c r="I196" i="31" a="1"/>
  <c r="I196" i="31" s="1"/>
  <c r="G196" i="31" a="1"/>
  <c r="G196" i="31" s="1"/>
  <c r="R211" i="31"/>
  <c r="Q127" i="7"/>
  <c r="Q129" i="7" s="1"/>
  <c r="P127" i="7"/>
  <c r="P129" i="7" s="1"/>
  <c r="P123" i="7"/>
  <c r="Q123" i="7"/>
  <c r="P134" i="7"/>
  <c r="P135" i="7" s="1"/>
  <c r="Q134" i="7"/>
  <c r="Q135" i="7" s="1"/>
  <c r="P150" i="7"/>
  <c r="Q150" i="7"/>
  <c r="P124" i="7"/>
  <c r="Q124" i="7"/>
  <c r="U153" i="31"/>
  <c r="U135" i="31"/>
  <c r="U144" i="31"/>
  <c r="Q119" i="31"/>
  <c r="Q109" i="31" s="1"/>
  <c r="E47" i="32" s="1"/>
  <c r="R119" i="31"/>
  <c r="B55" i="32"/>
  <c r="K55" i="32" s="1"/>
  <c r="P55" i="32" s="1"/>
  <c r="O124" i="7"/>
  <c r="M124" i="7"/>
  <c r="N124" i="7"/>
  <c r="M123" i="7"/>
  <c r="O123" i="7"/>
  <c r="N123" i="7"/>
  <c r="O134" i="7"/>
  <c r="O135" i="7" s="1"/>
  <c r="M134" i="7"/>
  <c r="M135" i="7" s="1"/>
  <c r="N134" i="7"/>
  <c r="N135" i="7" s="1"/>
  <c r="M150" i="7"/>
  <c r="N150" i="7"/>
  <c r="O150" i="7"/>
  <c r="O127" i="7"/>
  <c r="O129" i="7" s="1"/>
  <c r="M127" i="7"/>
  <c r="M129" i="7" s="1"/>
  <c r="N127" i="7"/>
  <c r="N129" i="7" s="1"/>
  <c r="O144" i="31"/>
  <c r="O153" i="31"/>
  <c r="O135" i="31"/>
  <c r="M90" i="31" a="1"/>
  <c r="M90" i="31" s="1"/>
  <c r="K90" i="31" s="1"/>
  <c r="M89" i="31" a="1"/>
  <c r="M89" i="31" s="1"/>
  <c r="K89" i="31" s="1"/>
  <c r="H149" i="7"/>
  <c r="H122" i="7"/>
  <c r="AA100" i="31" l="1"/>
  <c r="O96" i="31"/>
  <c r="O95" i="31" s="1"/>
  <c r="Q98" i="31"/>
  <c r="Q96" i="31" s="1"/>
  <c r="Q95" i="31" s="1"/>
  <c r="V96" i="31"/>
  <c r="V95" i="31" s="1"/>
  <c r="X98" i="31"/>
  <c r="X96" i="31" s="1"/>
  <c r="X95" i="31" s="1"/>
  <c r="T99" i="31"/>
  <c r="Y99" i="31" s="1" a="1"/>
  <c r="Y99" i="31" s="1"/>
  <c r="AA99" i="31" s="1"/>
  <c r="T101" i="31"/>
  <c r="Y101" i="31" s="1" a="1"/>
  <c r="Y101" i="31" s="1"/>
  <c r="AA101" i="31" s="1"/>
  <c r="V134" i="31"/>
  <c r="E60" i="34"/>
  <c r="E67" i="34" s="1"/>
  <c r="B60" i="34"/>
  <c r="D60" i="34"/>
  <c r="D67" i="34" s="1"/>
  <c r="J16" i="34"/>
  <c r="K16" i="34" s="1"/>
  <c r="L16" i="34" s="1"/>
  <c r="G16" i="34"/>
  <c r="H16" i="34" s="1"/>
  <c r="I16" i="34" s="1"/>
  <c r="J11" i="34"/>
  <c r="G11" i="34"/>
  <c r="H11" i="34" s="1"/>
  <c r="I11" i="34" s="1"/>
  <c r="G12" i="34"/>
  <c r="H12" i="34" s="1"/>
  <c r="I12" i="34" s="1"/>
  <c r="J12" i="34"/>
  <c r="K12" i="34" s="1"/>
  <c r="L12" i="34" s="1"/>
  <c r="J15" i="34"/>
  <c r="K15" i="34" s="1"/>
  <c r="L15" i="34" s="1"/>
  <c r="G15" i="34"/>
  <c r="H15" i="34" s="1"/>
  <c r="I15" i="34" s="1"/>
  <c r="E20" i="34"/>
  <c r="F10" i="34"/>
  <c r="C67" i="34"/>
  <c r="C61" i="34"/>
  <c r="J14" i="34"/>
  <c r="K14" i="34" s="1"/>
  <c r="L14" i="34" s="1"/>
  <c r="G14" i="34"/>
  <c r="H14" i="34" s="1"/>
  <c r="I14" i="34" s="1"/>
  <c r="K17" i="34"/>
  <c r="L17" i="34" s="1"/>
  <c r="H17" i="34"/>
  <c r="I17" i="34" s="1"/>
  <c r="F30" i="32" s="1"/>
  <c r="B42" i="49" s="1"/>
  <c r="K122" i="7"/>
  <c r="K125" i="7" s="1"/>
  <c r="L122" i="7"/>
  <c r="L125" i="7" s="1"/>
  <c r="L149" i="7"/>
  <c r="L153" i="7" s="1"/>
  <c r="K149" i="7"/>
  <c r="K153" i="7" s="1"/>
  <c r="X224" i="31"/>
  <c r="X220" i="31" s="1"/>
  <c r="Q224" i="31"/>
  <c r="Q220" i="31" s="1"/>
  <c r="W224" i="31"/>
  <c r="P224" i="31"/>
  <c r="P220" i="31" s="1"/>
  <c r="R223" i="31" a="1"/>
  <c r="R223" i="31" s="1"/>
  <c r="T223" i="31" s="1"/>
  <c r="Y223" i="31" s="1" a="1"/>
  <c r="Y223" i="31" s="1"/>
  <c r="AA223" i="31" s="1"/>
  <c r="V210" i="31" a="1"/>
  <c r="V210" i="31" s="1"/>
  <c r="V206" i="31" s="1"/>
  <c r="O210" i="31" a="1"/>
  <c r="O210" i="31" s="1"/>
  <c r="O206" i="31" s="1"/>
  <c r="S210" i="31" a="1"/>
  <c r="S210" i="31" s="1"/>
  <c r="S206" i="31" s="1"/>
  <c r="Z210" i="31" a="1"/>
  <c r="Z210" i="31" s="1"/>
  <c r="Z206" i="31" s="1"/>
  <c r="W210" i="31"/>
  <c r="Q210" i="31"/>
  <c r="Q206" i="31" s="1"/>
  <c r="X210" i="31"/>
  <c r="X206" i="31" s="1"/>
  <c r="P210" i="31"/>
  <c r="P206" i="31" s="1"/>
  <c r="O196" i="31" a="1"/>
  <c r="O196" i="31" s="1"/>
  <c r="S196" i="31" a="1"/>
  <c r="S196" i="31" s="1"/>
  <c r="U196" i="31" a="1"/>
  <c r="U196" i="31" s="1"/>
  <c r="U192" i="31" s="1"/>
  <c r="X196" i="31"/>
  <c r="X192" i="31" s="1"/>
  <c r="W196" i="31"/>
  <c r="P196" i="31"/>
  <c r="P192" i="31" s="1"/>
  <c r="Q196" i="31"/>
  <c r="V196" i="31" a="1"/>
  <c r="V196" i="31" s="1"/>
  <c r="V192" i="31" s="1"/>
  <c r="R98" i="31" a="1"/>
  <c r="R98" i="31" s="1"/>
  <c r="V90" i="31" a="1"/>
  <c r="V90" i="31" s="1"/>
  <c r="U90" i="31" a="1"/>
  <c r="U90" i="31" s="1"/>
  <c r="S90" i="31" a="1"/>
  <c r="S90" i="31" s="1"/>
  <c r="O90" i="31" a="1"/>
  <c r="O90" i="31" s="1"/>
  <c r="Z90" i="31" a="1"/>
  <c r="Z90" i="31" s="1"/>
  <c r="Z89" i="31" a="1"/>
  <c r="Z89" i="31" s="1"/>
  <c r="V89" i="31" a="1"/>
  <c r="V89" i="31" s="1"/>
  <c r="O89" i="31" a="1"/>
  <c r="O89" i="31" s="1"/>
  <c r="U89" i="31" a="1"/>
  <c r="U89" i="31" s="1"/>
  <c r="S89" i="31" a="1"/>
  <c r="S89" i="31" s="1"/>
  <c r="AA110" i="31"/>
  <c r="Y110" i="31"/>
  <c r="S135" i="31"/>
  <c r="S153" i="31"/>
  <c r="Y119" i="31"/>
  <c r="Y211" i="31"/>
  <c r="K224" i="31"/>
  <c r="AA262" i="31"/>
  <c r="AA260" i="31" s="1"/>
  <c r="Y260" i="31"/>
  <c r="Z192" i="31"/>
  <c r="B14" i="37" a="1"/>
  <c r="B14" i="37" s="1"/>
  <c r="E14" i="37" s="1"/>
  <c r="S135" i="7"/>
  <c r="S96" i="31"/>
  <c r="S95" i="31" s="1"/>
  <c r="G46" i="32" s="1"/>
  <c r="S144" i="31"/>
  <c r="S129" i="7"/>
  <c r="Q183" i="31"/>
  <c r="J224" i="31"/>
  <c r="F224" i="31"/>
  <c r="U206" i="31"/>
  <c r="J210" i="31"/>
  <c r="F210" i="31"/>
  <c r="J196" i="31"/>
  <c r="F196" i="31"/>
  <c r="H10" i="32"/>
  <c r="P122" i="7"/>
  <c r="P125" i="7" s="1"/>
  <c r="Q122" i="7"/>
  <c r="Q125" i="7" s="1"/>
  <c r="Q149" i="7"/>
  <c r="Q153" i="7" s="1"/>
  <c r="P149" i="7"/>
  <c r="P153" i="7" s="1"/>
  <c r="U134" i="31"/>
  <c r="H12" i="32" s="1"/>
  <c r="O122" i="7"/>
  <c r="O125" i="7" s="1"/>
  <c r="M122" i="7"/>
  <c r="M125" i="7" s="1"/>
  <c r="N122" i="7"/>
  <c r="N125" i="7" s="1"/>
  <c r="M149" i="7"/>
  <c r="M153" i="7" s="1"/>
  <c r="N149" i="7"/>
  <c r="N153" i="7" s="1"/>
  <c r="O149" i="7"/>
  <c r="O153" i="7" s="1"/>
  <c r="O134" i="31"/>
  <c r="M88" i="31" a="1"/>
  <c r="M88" i="31" s="1"/>
  <c r="K88" i="31" s="1"/>
  <c r="T98" i="31" l="1"/>
  <c r="Y98" i="31" s="1" a="1"/>
  <c r="Y98" i="31" s="1"/>
  <c r="AA98" i="31" s="1"/>
  <c r="D61" i="34"/>
  <c r="E61" i="34"/>
  <c r="F28" i="32"/>
  <c r="N82" i="30"/>
  <c r="O82" i="30" s="1"/>
  <c r="F27" i="32"/>
  <c r="N79" i="30"/>
  <c r="O79" i="30" s="1"/>
  <c r="K11" i="34"/>
  <c r="L11" i="34" s="1"/>
  <c r="F24" i="32"/>
  <c r="B40" i="49" s="1"/>
  <c r="N78" i="30"/>
  <c r="O78" i="30" s="1"/>
  <c r="F26" i="32"/>
  <c r="N81" i="30"/>
  <c r="O81" i="30" s="1"/>
  <c r="G10" i="34"/>
  <c r="H10" i="34" s="1"/>
  <c r="I10" i="34" s="1"/>
  <c r="J10" i="34"/>
  <c r="K10" i="34" s="1"/>
  <c r="L10" i="34" s="1"/>
  <c r="F29" i="32"/>
  <c r="N83" i="30"/>
  <c r="O83" i="30" s="1"/>
  <c r="R196" i="31" a="1"/>
  <c r="R196" i="31" s="1"/>
  <c r="T196" i="31" s="1"/>
  <c r="Y196" i="31" s="1" a="1"/>
  <c r="Y196" i="31" s="1"/>
  <c r="AA196" i="31" s="1"/>
  <c r="Z224" i="31" a="1"/>
  <c r="Z224" i="31" s="1"/>
  <c r="Z220" i="31" s="1"/>
  <c r="Z182" i="31" s="1"/>
  <c r="S224" i="31" a="1"/>
  <c r="S224" i="31" s="1"/>
  <c r="V224" i="31" a="1"/>
  <c r="V224" i="31" s="1"/>
  <c r="U224" i="31" a="1"/>
  <c r="U224" i="31" s="1"/>
  <c r="U220" i="31" s="1"/>
  <c r="U182" i="31" s="1"/>
  <c r="O224" i="31" a="1"/>
  <c r="O224" i="31" s="1"/>
  <c r="R210" i="31" a="1"/>
  <c r="R210" i="31" s="1"/>
  <c r="T210" i="31" s="1"/>
  <c r="Y210" i="31" s="1" a="1"/>
  <c r="Y210" i="31" s="1"/>
  <c r="AA210" i="31" s="1"/>
  <c r="R90" i="31" a="1"/>
  <c r="R90" i="31" s="1"/>
  <c r="T90" i="31" s="1"/>
  <c r="Y90" i="31" s="1" a="1"/>
  <c r="Y90" i="31" s="1"/>
  <c r="AA90" i="31" s="1"/>
  <c r="Z88" i="31" a="1"/>
  <c r="Z88" i="31" s="1"/>
  <c r="Z87" i="31" s="1"/>
  <c r="Z86" i="31" s="1"/>
  <c r="V88" i="31" a="1"/>
  <c r="V88" i="31" s="1"/>
  <c r="V87" i="31" s="1"/>
  <c r="V86" i="31" s="1"/>
  <c r="U88" i="31" a="1"/>
  <c r="U88" i="31" s="1"/>
  <c r="S88" i="31" a="1"/>
  <c r="S88" i="31" s="1"/>
  <c r="O88" i="31" a="1"/>
  <c r="O88" i="31" s="1"/>
  <c r="R89" i="31" a="1"/>
  <c r="R89" i="31" s="1"/>
  <c r="T89" i="31" s="1"/>
  <c r="Y89" i="31" s="1" a="1"/>
  <c r="Y89" i="31" s="1"/>
  <c r="AA89" i="31" s="1"/>
  <c r="S134" i="31"/>
  <c r="G48" i="32" s="1"/>
  <c r="S192" i="31"/>
  <c r="AA119" i="31"/>
  <c r="AA211" i="31"/>
  <c r="W206" i="31"/>
  <c r="W192" i="31"/>
  <c r="W220" i="31"/>
  <c r="X182" i="31"/>
  <c r="P182" i="31"/>
  <c r="B15" i="37" a="1"/>
  <c r="B15" i="37" s="1"/>
  <c r="E15" i="37" s="1"/>
  <c r="B108" i="49"/>
  <c r="B106" i="49"/>
  <c r="R96" i="31"/>
  <c r="R95" i="31" s="1"/>
  <c r="F46" i="32" s="1"/>
  <c r="R153" i="31"/>
  <c r="R144" i="31"/>
  <c r="R135" i="31"/>
  <c r="S125" i="7"/>
  <c r="S153" i="7"/>
  <c r="O192" i="31"/>
  <c r="Q192" i="31"/>
  <c r="Q182" i="31" s="1"/>
  <c r="E46" i="32"/>
  <c r="C48" i="32"/>
  <c r="C46" i="32"/>
  <c r="H35" i="7"/>
  <c r="H31" i="7"/>
  <c r="N77" i="30" l="1"/>
  <c r="O77" i="30" s="1"/>
  <c r="F23" i="32"/>
  <c r="B39" i="49" s="1"/>
  <c r="M67" i="31" a="1"/>
  <c r="M67" i="31" s="1"/>
  <c r="K67" i="31" s="1"/>
  <c r="K31" i="7"/>
  <c r="K33" i="7" s="1"/>
  <c r="V69" i="31" s="1" a="1"/>
  <c r="V69" i="31" s="1"/>
  <c r="L31" i="7"/>
  <c r="L33" i="7" s="1"/>
  <c r="Z69" i="31" s="1" a="1"/>
  <c r="Z69" i="31" s="1"/>
  <c r="K35" i="7"/>
  <c r="K42" i="7" s="1"/>
  <c r="V70" i="31" s="1" a="1"/>
  <c r="V70" i="31" s="1"/>
  <c r="L35" i="7"/>
  <c r="L42" i="7" s="1"/>
  <c r="Z70" i="31" s="1" a="1"/>
  <c r="Z70" i="31" s="1"/>
  <c r="R192" i="31"/>
  <c r="R224" i="31" a="1"/>
  <c r="R224" i="31" s="1"/>
  <c r="T224" i="31" s="1"/>
  <c r="Y224" i="31" s="1" a="1"/>
  <c r="Y224" i="31" s="1"/>
  <c r="AA224" i="31" s="1"/>
  <c r="O220" i="31"/>
  <c r="O182" i="31" s="1"/>
  <c r="C52" i="32" s="1"/>
  <c r="V220" i="31"/>
  <c r="V182" i="31" s="1"/>
  <c r="R88" i="31" a="1"/>
  <c r="R88" i="31" s="1"/>
  <c r="T88" i="31" s="1"/>
  <c r="Y88" i="31" s="1" a="1"/>
  <c r="Y88" i="31" s="1"/>
  <c r="AA88" i="31" s="1"/>
  <c r="S220" i="31"/>
  <c r="AA96" i="31"/>
  <c r="AA95" i="31" s="1"/>
  <c r="Y96" i="31"/>
  <c r="Y95" i="31" s="1"/>
  <c r="Y135" i="31"/>
  <c r="AA144" i="31"/>
  <c r="AA153" i="31"/>
  <c r="P292" i="31"/>
  <c r="D63" i="29" s="1"/>
  <c r="W182" i="31"/>
  <c r="W292" i="31" s="1"/>
  <c r="B16" i="37" a="1"/>
  <c r="B16" i="37" s="1"/>
  <c r="E16" i="37" s="1"/>
  <c r="R134" i="31"/>
  <c r="F48" i="32" s="1"/>
  <c r="R206" i="31"/>
  <c r="D52" i="32"/>
  <c r="D69" i="32" s="1"/>
  <c r="M55" i="31" a="1"/>
  <c r="M55" i="31" s="1"/>
  <c r="K55" i="31" s="1"/>
  <c r="M63" i="31" a="1"/>
  <c r="M63" i="31" s="1"/>
  <c r="K63" i="31" s="1"/>
  <c r="Q35" i="7"/>
  <c r="P35" i="7"/>
  <c r="P31" i="7"/>
  <c r="P33" i="7" s="1"/>
  <c r="Q31" i="7"/>
  <c r="Q33" i="7" s="1"/>
  <c r="U87" i="31"/>
  <c r="U86" i="31" s="1"/>
  <c r="H9" i="32" s="1"/>
  <c r="S87" i="31"/>
  <c r="S86" i="31" s="1"/>
  <c r="G45" i="32" s="1"/>
  <c r="M68" i="31" a="1"/>
  <c r="M68" i="31" s="1"/>
  <c r="K68" i="31" s="1"/>
  <c r="O31" i="7"/>
  <c r="M31" i="7"/>
  <c r="N31" i="7"/>
  <c r="O35" i="7"/>
  <c r="M35" i="7"/>
  <c r="N35" i="7"/>
  <c r="O87" i="31"/>
  <c r="X69" i="31" l="1"/>
  <c r="Z67" i="31" a="1"/>
  <c r="Z67" i="31" s="1"/>
  <c r="O67" i="31" a="1"/>
  <c r="O67" i="31" s="1"/>
  <c r="S67" i="31" a="1"/>
  <c r="S67" i="31" s="1"/>
  <c r="U67" i="31" a="1"/>
  <c r="U67" i="31" s="1"/>
  <c r="V67" i="31" a="1"/>
  <c r="V67" i="31" s="1"/>
  <c r="R220" i="31"/>
  <c r="Z68" i="31" a="1"/>
  <c r="Z68" i="31" s="1"/>
  <c r="V68" i="31" a="1"/>
  <c r="V68" i="31" s="1"/>
  <c r="X68" i="31" s="1"/>
  <c r="U68" i="31" a="1"/>
  <c r="U68" i="31" s="1"/>
  <c r="S68" i="31" a="1"/>
  <c r="S68" i="31" s="1"/>
  <c r="O68" i="31" a="1"/>
  <c r="O68" i="31" s="1"/>
  <c r="Z63" i="31" a="1"/>
  <c r="Z63" i="31" s="1"/>
  <c r="V63" i="31" a="1"/>
  <c r="V63" i="31" s="1"/>
  <c r="U63" i="31" a="1"/>
  <c r="U63" i="31" s="1"/>
  <c r="S63" i="31" a="1"/>
  <c r="S63" i="31" s="1"/>
  <c r="O63" i="31" a="1"/>
  <c r="O63" i="31" s="1"/>
  <c r="Z55" i="31" a="1"/>
  <c r="Z55" i="31" s="1"/>
  <c r="V55" i="31" a="1"/>
  <c r="V55" i="31" s="1"/>
  <c r="U55" i="31" a="1"/>
  <c r="U55" i="31" s="1"/>
  <c r="S55" i="31" a="1"/>
  <c r="S55" i="31" s="1"/>
  <c r="O55" i="31" a="1"/>
  <c r="O55" i="31" s="1"/>
  <c r="AA135" i="31"/>
  <c r="AA134" i="31" s="1"/>
  <c r="Y144" i="31"/>
  <c r="S182" i="31"/>
  <c r="G52" i="32" s="1"/>
  <c r="Y153" i="31"/>
  <c r="T192" i="31"/>
  <c r="T206" i="31"/>
  <c r="B17" i="37" a="1"/>
  <c r="B17" i="37" s="1"/>
  <c r="E17" i="37" s="1"/>
  <c r="B105" i="49"/>
  <c r="O33" i="7"/>
  <c r="U69" i="31" s="1" a="1"/>
  <c r="U69" i="31" s="1"/>
  <c r="N33" i="7"/>
  <c r="S69" i="31" s="1" a="1"/>
  <c r="S69" i="31" s="1"/>
  <c r="M33" i="7"/>
  <c r="O69" i="31" s="1" a="1"/>
  <c r="O69" i="31" s="1"/>
  <c r="Q69" i="31" s="1"/>
  <c r="N42" i="7"/>
  <c r="S70" i="31" s="1" a="1"/>
  <c r="S70" i="31" s="1"/>
  <c r="P42" i="7"/>
  <c r="O42" i="7"/>
  <c r="U70" i="31" s="1" a="1"/>
  <c r="U70" i="31" s="1"/>
  <c r="M42" i="7"/>
  <c r="O70" i="31" s="1" a="1"/>
  <c r="O70" i="31" s="1"/>
  <c r="Q55" i="31"/>
  <c r="Q42" i="7"/>
  <c r="R87" i="31"/>
  <c r="R86" i="31" s="1"/>
  <c r="F45" i="32" s="1"/>
  <c r="O86" i="31"/>
  <c r="Q63" i="31" l="1"/>
  <c r="X67" i="31"/>
  <c r="R69" i="31" a="1"/>
  <c r="R69" i="31" s="1"/>
  <c r="T69" i="31" s="1"/>
  <c r="Y69" i="31" s="1" a="1"/>
  <c r="Y69" i="31" s="1"/>
  <c r="AA69" i="31" s="1"/>
  <c r="X63" i="31"/>
  <c r="Q68" i="31"/>
  <c r="Q67" i="31"/>
  <c r="R67" i="31" a="1"/>
  <c r="R67" i="31" s="1"/>
  <c r="R70" i="31" a="1"/>
  <c r="R70" i="31" s="1"/>
  <c r="T70" i="31" s="1"/>
  <c r="Y70" i="31" s="1" a="1"/>
  <c r="Y70" i="31" s="1"/>
  <c r="AA70" i="31" s="1"/>
  <c r="R63" i="31" a="1"/>
  <c r="R63" i="31" s="1"/>
  <c r="R68" i="31" a="1"/>
  <c r="R68" i="31" s="1"/>
  <c r="Y134" i="31"/>
  <c r="T220" i="31"/>
  <c r="Y87" i="31"/>
  <c r="Y86" i="31" s="1"/>
  <c r="AA220" i="31"/>
  <c r="V62" i="31"/>
  <c r="V61" i="31" s="1"/>
  <c r="Z62" i="31"/>
  <c r="Z61" i="31" s="1"/>
  <c r="Y206" i="31"/>
  <c r="AA206" i="31"/>
  <c r="Y192" i="31"/>
  <c r="AA192" i="31"/>
  <c r="B18" i="37" a="1"/>
  <c r="B18" i="37" s="1"/>
  <c r="E18" i="37" s="1"/>
  <c r="S33" i="7"/>
  <c r="S42" i="7"/>
  <c r="R55" i="31" a="1"/>
  <c r="R55" i="31" s="1"/>
  <c r="T55" i="31" s="1"/>
  <c r="U62" i="31"/>
  <c r="S62" i="31"/>
  <c r="C45" i="32"/>
  <c r="H79" i="5"/>
  <c r="H78" i="5"/>
  <c r="H82" i="5"/>
  <c r="H75" i="5"/>
  <c r="H39" i="5"/>
  <c r="H14" i="5"/>
  <c r="H70" i="5"/>
  <c r="H68" i="5"/>
  <c r="H64" i="5"/>
  <c r="H59" i="5"/>
  <c r="H55" i="5"/>
  <c r="H29" i="5"/>
  <c r="H6" i="5"/>
  <c r="H5" i="5" s="1"/>
  <c r="T63" i="31" l="1"/>
  <c r="Y63" i="31" s="1" a="1"/>
  <c r="Y63" i="31" s="1"/>
  <c r="AA63" i="31" s="1"/>
  <c r="X62" i="31"/>
  <c r="X61" i="31" s="1"/>
  <c r="T67" i="31"/>
  <c r="Y67" i="31" s="1" a="1"/>
  <c r="Y67" i="31" s="1"/>
  <c r="AA67" i="31" s="1"/>
  <c r="T68" i="31"/>
  <c r="Y68" i="31" s="1" a="1"/>
  <c r="Y68" i="31" s="1"/>
  <c r="AA68" i="31" s="1"/>
  <c r="L6" i="5"/>
  <c r="K6" i="5"/>
  <c r="L29" i="5"/>
  <c r="K29" i="5"/>
  <c r="L55" i="5"/>
  <c r="K55" i="5"/>
  <c r="L59" i="5"/>
  <c r="K59" i="5"/>
  <c r="L64" i="5"/>
  <c r="K64" i="5"/>
  <c r="K68" i="5"/>
  <c r="L68" i="5"/>
  <c r="L70" i="5"/>
  <c r="K70" i="5"/>
  <c r="L14" i="5"/>
  <c r="L15" i="5" s="1"/>
  <c r="K14" i="5"/>
  <c r="K15" i="5" s="1"/>
  <c r="L39" i="5"/>
  <c r="L41" i="5" s="1"/>
  <c r="K39" i="5"/>
  <c r="K41" i="5" s="1"/>
  <c r="L75" i="5"/>
  <c r="L83" i="5" s="1"/>
  <c r="K75" i="5"/>
  <c r="K83" i="5" s="1"/>
  <c r="L82" i="5"/>
  <c r="K82" i="5"/>
  <c r="L78" i="5"/>
  <c r="K78" i="5"/>
  <c r="L79" i="5"/>
  <c r="K79" i="5"/>
  <c r="AA87" i="31"/>
  <c r="AA86" i="31" s="1"/>
  <c r="Y55" i="31" a="1"/>
  <c r="Y55" i="31" s="1"/>
  <c r="AA55" i="31" s="1"/>
  <c r="Y220" i="31"/>
  <c r="B19" i="37" a="1"/>
  <c r="B19" i="37" s="1"/>
  <c r="E19" i="37" s="1"/>
  <c r="O62" i="31"/>
  <c r="O61" i="31" s="1"/>
  <c r="C43" i="32" s="1"/>
  <c r="U61" i="31"/>
  <c r="H7" i="32" s="1"/>
  <c r="S61" i="31"/>
  <c r="G43" i="32" s="1"/>
  <c r="P14" i="5"/>
  <c r="Q14" i="5"/>
  <c r="O14" i="5"/>
  <c r="O29" i="5"/>
  <c r="Q29" i="5"/>
  <c r="P29" i="5"/>
  <c r="P55" i="5"/>
  <c r="Q55" i="5"/>
  <c r="O55" i="5"/>
  <c r="P68" i="5"/>
  <c r="Q68" i="5"/>
  <c r="O68" i="5"/>
  <c r="P39" i="5"/>
  <c r="O39" i="5"/>
  <c r="Q39" i="5"/>
  <c r="O82" i="5"/>
  <c r="Q82" i="5"/>
  <c r="P82" i="5"/>
  <c r="P79" i="5"/>
  <c r="Q79" i="5"/>
  <c r="O79" i="5"/>
  <c r="O59" i="5"/>
  <c r="P59" i="5"/>
  <c r="Q59" i="5"/>
  <c r="Q70" i="5"/>
  <c r="P70" i="5"/>
  <c r="O70" i="5"/>
  <c r="Q75" i="5"/>
  <c r="O75" i="5"/>
  <c r="P75" i="5"/>
  <c r="O78" i="5"/>
  <c r="Q78" i="5"/>
  <c r="P78" i="5"/>
  <c r="P6" i="5"/>
  <c r="O6" i="5"/>
  <c r="Q6" i="5"/>
  <c r="P4" i="5"/>
  <c r="O4" i="5"/>
  <c r="Q4" i="5"/>
  <c r="Q64" i="5"/>
  <c r="P64" i="5"/>
  <c r="O64" i="5"/>
  <c r="Q62" i="31"/>
  <c r="M6" i="5"/>
  <c r="N6" i="5"/>
  <c r="M18" i="31" a="1"/>
  <c r="M18" i="31" s="1"/>
  <c r="M29" i="5"/>
  <c r="N29" i="5"/>
  <c r="M55" i="5"/>
  <c r="N55" i="5"/>
  <c r="M14" i="5"/>
  <c r="N14" i="5"/>
  <c r="N82" i="5"/>
  <c r="M82" i="5"/>
  <c r="M59" i="5"/>
  <c r="N59" i="5"/>
  <c r="N68" i="5"/>
  <c r="M68" i="5"/>
  <c r="M39" i="5"/>
  <c r="N39" i="5"/>
  <c r="M79" i="5"/>
  <c r="N79" i="5"/>
  <c r="N4" i="5"/>
  <c r="M4" i="5"/>
  <c r="M16" i="31" a="1"/>
  <c r="M16" i="31" s="1"/>
  <c r="K16" i="31" s="1"/>
  <c r="M64" i="5"/>
  <c r="N64" i="5"/>
  <c r="N70" i="5"/>
  <c r="M70" i="5"/>
  <c r="N75" i="5"/>
  <c r="M75" i="5"/>
  <c r="N78" i="5"/>
  <c r="M78" i="5"/>
  <c r="M57" i="31" a="1"/>
  <c r="M57" i="31" s="1"/>
  <c r="K57" i="31" s="1"/>
  <c r="M35" i="31" a="1"/>
  <c r="M35" i="31" s="1"/>
  <c r="K35" i="31" s="1"/>
  <c r="M52" i="31" a="1"/>
  <c r="M52" i="31" s="1"/>
  <c r="K52" i="31" s="1"/>
  <c r="M48" i="31" a="1"/>
  <c r="M48" i="31" s="1"/>
  <c r="K48" i="31" s="1"/>
  <c r="M45" i="31" a="1"/>
  <c r="M45" i="31" s="1"/>
  <c r="K45" i="31" s="1"/>
  <c r="M49" i="31" a="1"/>
  <c r="M49" i="31" s="1"/>
  <c r="K49" i="31" s="1"/>
  <c r="H27" i="5"/>
  <c r="K71" i="5" l="1"/>
  <c r="L27" i="5"/>
  <c r="L32" i="5" s="1"/>
  <c r="Z38" i="31" s="1" a="1"/>
  <c r="Z38" i="31" s="1"/>
  <c r="K27" i="5"/>
  <c r="K32" i="5" s="1"/>
  <c r="V38" i="31" s="1" a="1"/>
  <c r="V38" i="31" s="1"/>
  <c r="L5" i="5"/>
  <c r="L7" i="5" s="1"/>
  <c r="K5" i="5"/>
  <c r="K7" i="5" s="1"/>
  <c r="L71" i="5"/>
  <c r="K60" i="5"/>
  <c r="V50" i="31" s="1" a="1"/>
  <c r="V50" i="31" s="1"/>
  <c r="L60" i="5"/>
  <c r="Z50" i="31" s="1" a="1"/>
  <c r="Z50" i="31" s="1"/>
  <c r="O57" i="31" a="1"/>
  <c r="O57" i="31" s="1"/>
  <c r="S57" i="31" a="1"/>
  <c r="S57" i="31" s="1"/>
  <c r="U57" i="31" a="1"/>
  <c r="U57" i="31" s="1"/>
  <c r="V57" i="31" a="1"/>
  <c r="V57" i="31" s="1"/>
  <c r="V54" i="31" s="1"/>
  <c r="V53" i="31" s="1"/>
  <c r="Z57" i="31" a="1"/>
  <c r="Z57" i="31" s="1"/>
  <c r="Z54" i="31" s="1"/>
  <c r="Z53" i="31" s="1"/>
  <c r="O49" i="31" a="1"/>
  <c r="O49" i="31" s="1"/>
  <c r="Z49" i="31" a="1"/>
  <c r="Z49" i="31" s="1"/>
  <c r="S49" i="31" a="1"/>
  <c r="S49" i="31" s="1"/>
  <c r="U49" i="31" a="1"/>
  <c r="U49" i="31" s="1"/>
  <c r="V49" i="31" a="1"/>
  <c r="V49" i="31" s="1"/>
  <c r="O45" i="31" a="1"/>
  <c r="O45" i="31" s="1"/>
  <c r="Z45" i="31" a="1"/>
  <c r="Z45" i="31" s="1"/>
  <c r="V45" i="31" a="1"/>
  <c r="V45" i="31" s="1"/>
  <c r="S45" i="31" a="1"/>
  <c r="S45" i="31" s="1"/>
  <c r="U45" i="31" a="1"/>
  <c r="U45" i="31" s="1"/>
  <c r="O48" i="31" a="1"/>
  <c r="O48" i="31" s="1"/>
  <c r="V48" i="31" a="1"/>
  <c r="V48" i="31" s="1"/>
  <c r="S48" i="31" a="1"/>
  <c r="S48" i="31" s="1"/>
  <c r="U48" i="31" a="1"/>
  <c r="U48" i="31" s="1"/>
  <c r="Z48" i="31" a="1"/>
  <c r="Z48" i="31" s="1"/>
  <c r="O52" i="31" a="1"/>
  <c r="O52" i="31" s="1"/>
  <c r="S52" i="31" a="1"/>
  <c r="S52" i="31" s="1"/>
  <c r="U52" i="31" a="1"/>
  <c r="U52" i="31" s="1"/>
  <c r="V52" i="31" a="1"/>
  <c r="V52" i="31" s="1"/>
  <c r="Z52" i="31" a="1"/>
  <c r="Z52" i="31" s="1"/>
  <c r="S35" i="31" a="1"/>
  <c r="S35" i="31" s="1"/>
  <c r="O35" i="31" a="1"/>
  <c r="O35" i="31" s="1"/>
  <c r="Z35" i="31" a="1"/>
  <c r="Z35" i="31" s="1"/>
  <c r="V35" i="31" a="1"/>
  <c r="V35" i="31" s="1"/>
  <c r="U35" i="31" a="1"/>
  <c r="U35" i="31" s="1"/>
  <c r="Z16" i="31" a="1"/>
  <c r="Z16" i="31" s="1"/>
  <c r="V16" i="31" a="1"/>
  <c r="V16" i="31" s="1"/>
  <c r="S16" i="31" a="1"/>
  <c r="S16" i="31" s="1"/>
  <c r="O16" i="31" a="1"/>
  <c r="O16" i="31" s="1"/>
  <c r="U16" i="31" a="1"/>
  <c r="U16" i="31" s="1"/>
  <c r="B20" i="37" a="1"/>
  <c r="B20" i="37" s="1"/>
  <c r="E20" i="37" s="1"/>
  <c r="B103" i="49"/>
  <c r="R62" i="31"/>
  <c r="R61" i="31" s="1"/>
  <c r="F43" i="32" s="1"/>
  <c r="Q61" i="31"/>
  <c r="E43" i="32" s="1"/>
  <c r="Q71" i="5"/>
  <c r="Q60" i="5"/>
  <c r="P60" i="5"/>
  <c r="O60" i="5"/>
  <c r="U50" i="31" s="1" a="1"/>
  <c r="U50" i="31" s="1"/>
  <c r="Q11" i="5"/>
  <c r="P11" i="5"/>
  <c r="O11" i="5"/>
  <c r="Q27" i="5"/>
  <c r="Q32" i="5" s="1"/>
  <c r="O27" i="5"/>
  <c r="O32" i="5" s="1"/>
  <c r="U38" i="31" s="1" a="1"/>
  <c r="U38" i="31" s="1"/>
  <c r="P27" i="5"/>
  <c r="P32" i="5" s="1"/>
  <c r="P83" i="5"/>
  <c r="P5" i="5"/>
  <c r="P7" i="5" s="1"/>
  <c r="Q5" i="5"/>
  <c r="Q7" i="5" s="1"/>
  <c r="O5" i="5"/>
  <c r="O7" i="5" s="1"/>
  <c r="P36" i="5"/>
  <c r="Q36" i="5"/>
  <c r="O36" i="5"/>
  <c r="O71" i="5"/>
  <c r="P9" i="5"/>
  <c r="O9" i="5"/>
  <c r="Q9" i="5"/>
  <c r="O83" i="5"/>
  <c r="Q83" i="5"/>
  <c r="P71" i="5"/>
  <c r="N36" i="5"/>
  <c r="M36" i="5"/>
  <c r="M26" i="31" a="1"/>
  <c r="M26" i="31" s="1"/>
  <c r="K26" i="31" s="1"/>
  <c r="M11" i="5"/>
  <c r="N11" i="5"/>
  <c r="M27" i="5"/>
  <c r="M32" i="5" s="1"/>
  <c r="O38" i="31" s="1" a="1"/>
  <c r="O38" i="31" s="1"/>
  <c r="N27" i="5"/>
  <c r="N32" i="5" s="1"/>
  <c r="S38" i="31" s="1" a="1"/>
  <c r="S38" i="31" s="1"/>
  <c r="N60" i="5"/>
  <c r="S50" i="31" s="1" a="1"/>
  <c r="S50" i="31" s="1"/>
  <c r="M60" i="5"/>
  <c r="O50" i="31" s="1" a="1"/>
  <c r="O50" i="31" s="1"/>
  <c r="N5" i="5"/>
  <c r="N7" i="5" s="1"/>
  <c r="M5" i="5"/>
  <c r="M7" i="5" s="1"/>
  <c r="M17" i="31" a="1"/>
  <c r="M17" i="31" s="1"/>
  <c r="N83" i="5"/>
  <c r="M71" i="5"/>
  <c r="N71" i="5"/>
  <c r="M83" i="5"/>
  <c r="M9" i="5"/>
  <c r="N9" i="5"/>
  <c r="M33" i="31" a="1"/>
  <c r="M33" i="31" s="1"/>
  <c r="K33" i="31" s="1"/>
  <c r="K18" i="31"/>
  <c r="M24" i="31" a="1"/>
  <c r="M24" i="31" s="1"/>
  <c r="K24" i="31" s="1"/>
  <c r="R50" i="31" l="1" a="1"/>
  <c r="R50" i="31" s="1"/>
  <c r="T50" i="31" s="1"/>
  <c r="Y50" i="31" s="1" a="1"/>
  <c r="Y50" i="31" s="1"/>
  <c r="AA50" i="31" s="1"/>
  <c r="R38" i="31" a="1"/>
  <c r="R38" i="31" s="1"/>
  <c r="T38" i="31" s="1"/>
  <c r="Y38" i="31" s="1" a="1"/>
  <c r="Y38" i="31" s="1"/>
  <c r="AA38" i="31" s="1"/>
  <c r="V27" i="31" a="1"/>
  <c r="V27" i="31" s="1"/>
  <c r="V19" i="31" a="1"/>
  <c r="V19" i="31" s="1"/>
  <c r="Z27" i="31" a="1"/>
  <c r="Z27" i="31" s="1"/>
  <c r="Z19" i="31" a="1"/>
  <c r="Z19" i="31" s="1"/>
  <c r="O27" i="31" a="1"/>
  <c r="O27" i="31" s="1"/>
  <c r="O19" i="31" a="1"/>
  <c r="O19" i="31" s="1"/>
  <c r="S27" i="31" a="1"/>
  <c r="S27" i="31" s="1"/>
  <c r="S19" i="31" a="1"/>
  <c r="S19" i="31" s="1"/>
  <c r="U27" i="31" a="1"/>
  <c r="U27" i="31" s="1"/>
  <c r="U19" i="31" a="1"/>
  <c r="U19" i="31" s="1"/>
  <c r="R57" i="31" a="1"/>
  <c r="R57" i="31" s="1"/>
  <c r="T57" i="31" s="1"/>
  <c r="Y57" i="31" s="1" a="1"/>
  <c r="Y57" i="31" s="1"/>
  <c r="AA57" i="31" s="1"/>
  <c r="R52" i="31" a="1"/>
  <c r="R52" i="31" s="1"/>
  <c r="T52" i="31" s="1"/>
  <c r="Y52" i="31" s="1" a="1"/>
  <c r="Y52" i="31" s="1"/>
  <c r="AA52" i="31" s="1"/>
  <c r="R48" i="31" a="1"/>
  <c r="R48" i="31" s="1"/>
  <c r="T48" i="31" s="1"/>
  <c r="Y48" i="31" s="1" a="1"/>
  <c r="Y48" i="31" s="1"/>
  <c r="AA48" i="31" s="1"/>
  <c r="R45" i="31" a="1"/>
  <c r="R45" i="31" s="1"/>
  <c r="T45" i="31" s="1"/>
  <c r="Y45" i="31" s="1" a="1"/>
  <c r="Y45" i="31" s="1"/>
  <c r="AA45" i="31" s="1"/>
  <c r="R49" i="31" a="1"/>
  <c r="R49" i="31" s="1"/>
  <c r="T49" i="31" s="1"/>
  <c r="Y49" i="31" s="1" a="1"/>
  <c r="Y49" i="31" s="1"/>
  <c r="AA49" i="31" s="1"/>
  <c r="Z33" i="31" a="1"/>
  <c r="Z33" i="31" s="1"/>
  <c r="Z32" i="31" s="1"/>
  <c r="Z31" i="31" s="1"/>
  <c r="V33" i="31" a="1"/>
  <c r="V33" i="31" s="1"/>
  <c r="V32" i="31" s="1"/>
  <c r="V31" i="31" s="1"/>
  <c r="S33" i="31" a="1"/>
  <c r="S33" i="31" s="1"/>
  <c r="O33" i="31" a="1"/>
  <c r="O33" i="31" s="1"/>
  <c r="U33" i="31" a="1"/>
  <c r="U33" i="31" s="1"/>
  <c r="Z26" i="31" a="1"/>
  <c r="Z26" i="31" s="1"/>
  <c r="V26" i="31" a="1"/>
  <c r="V26" i="31" s="1"/>
  <c r="U26" i="31" a="1"/>
  <c r="U26" i="31" s="1"/>
  <c r="S26" i="31" a="1"/>
  <c r="S26" i="31" s="1"/>
  <c r="O26" i="31" a="1"/>
  <c r="O26" i="31" s="1"/>
  <c r="Z24" i="31" a="1"/>
  <c r="Z24" i="31" s="1"/>
  <c r="V24" i="31" a="1"/>
  <c r="V24" i="31" s="1"/>
  <c r="U24" i="31" a="1"/>
  <c r="U24" i="31" s="1"/>
  <c r="S24" i="31" a="1"/>
  <c r="S24" i="31" s="1"/>
  <c r="O24" i="31" a="1"/>
  <c r="O24" i="31" s="1"/>
  <c r="Z18" i="31" a="1"/>
  <c r="Z18" i="31" s="1"/>
  <c r="V18" i="31" a="1"/>
  <c r="V18" i="31" s="1"/>
  <c r="U18" i="31" a="1"/>
  <c r="U18" i="31" s="1"/>
  <c r="O18" i="31" a="1"/>
  <c r="O18" i="31" s="1"/>
  <c r="S18" i="31" a="1"/>
  <c r="S18" i="31" s="1"/>
  <c r="Y62" i="31"/>
  <c r="Y61" i="31" s="1"/>
  <c r="V42" i="31"/>
  <c r="V41" i="31" s="1"/>
  <c r="Z42" i="31"/>
  <c r="Z41" i="31" s="1"/>
  <c r="B21" i="37" a="1"/>
  <c r="B21" i="37" s="1"/>
  <c r="E21" i="37" s="1"/>
  <c r="S71" i="5"/>
  <c r="S83" i="5"/>
  <c r="S60" i="5"/>
  <c r="S32" i="5"/>
  <c r="S7" i="5"/>
  <c r="Q10" i="5"/>
  <c r="Q15" i="5" s="1"/>
  <c r="P10" i="5"/>
  <c r="P15" i="5" s="1"/>
  <c r="O10" i="5"/>
  <c r="O15" i="5" s="1"/>
  <c r="O17" i="5"/>
  <c r="P17" i="5"/>
  <c r="Q17" i="5"/>
  <c r="O19" i="5"/>
  <c r="Q19" i="5"/>
  <c r="P19" i="5"/>
  <c r="O34" i="5"/>
  <c r="O41" i="5" s="1"/>
  <c r="P34" i="5"/>
  <c r="P41" i="5" s="1"/>
  <c r="Q34" i="5"/>
  <c r="Q41" i="5" s="1"/>
  <c r="U54" i="31"/>
  <c r="U53" i="31" s="1"/>
  <c r="H6" i="32" s="1"/>
  <c r="S54" i="31"/>
  <c r="S53" i="31" s="1"/>
  <c r="G42" i="32" s="1"/>
  <c r="G64" i="32" s="1"/>
  <c r="U42" i="31"/>
  <c r="U41" i="31" s="1"/>
  <c r="H5" i="32" s="1"/>
  <c r="R16" i="31" a="1"/>
  <c r="R16" i="31" s="1"/>
  <c r="M25" i="31" a="1"/>
  <c r="M25" i="31" s="1"/>
  <c r="M10" i="5"/>
  <c r="M15" i="5" s="1"/>
  <c r="N10" i="5"/>
  <c r="N15" i="5" s="1"/>
  <c r="M19" i="5"/>
  <c r="N19" i="5"/>
  <c r="M17" i="5"/>
  <c r="N17" i="5"/>
  <c r="M34" i="5"/>
  <c r="M41" i="5" s="1"/>
  <c r="N34" i="5"/>
  <c r="N41" i="5" s="1"/>
  <c r="O54" i="31"/>
  <c r="S42" i="31"/>
  <c r="S41" i="31" s="1"/>
  <c r="G41" i="32" s="1"/>
  <c r="R35" i="31" a="1"/>
  <c r="R35" i="31" s="1"/>
  <c r="AA62" i="31" l="1"/>
  <c r="AA61" i="31" s="1"/>
  <c r="B22" i="37" a="1"/>
  <c r="B22" i="37" s="1"/>
  <c r="E22" i="37" s="1"/>
  <c r="B101" i="49"/>
  <c r="G6" i="32"/>
  <c r="B102" i="49"/>
  <c r="U32" i="31"/>
  <c r="U31" i="31" s="1"/>
  <c r="H4" i="32" s="1"/>
  <c r="O32" i="31"/>
  <c r="O42" i="31"/>
  <c r="O41" i="31" s="1"/>
  <c r="S15" i="5"/>
  <c r="S41" i="5"/>
  <c r="K25" i="31"/>
  <c r="O25" i="31" s="1" a="1"/>
  <c r="O25" i="31" s="1"/>
  <c r="Q54" i="31"/>
  <c r="Q53" i="31" s="1"/>
  <c r="R24" i="31" a="1"/>
  <c r="R24" i="31" s="1"/>
  <c r="R26" i="31" a="1"/>
  <c r="R26" i="31" s="1"/>
  <c r="Q18" i="5"/>
  <c r="O18" i="5"/>
  <c r="O23" i="5" s="1"/>
  <c r="P18" i="5"/>
  <c r="T35" i="31"/>
  <c r="R54" i="31"/>
  <c r="R53" i="31" s="1"/>
  <c r="F42" i="32" s="1"/>
  <c r="F64" i="32" s="1"/>
  <c r="T16" i="31"/>
  <c r="O53" i="31"/>
  <c r="K17" i="31"/>
  <c r="M18" i="5"/>
  <c r="N18" i="5"/>
  <c r="R19" i="31" a="1"/>
  <c r="R19" i="31" s="1"/>
  <c r="R27" i="31" a="1"/>
  <c r="R27" i="31" s="1"/>
  <c r="R42" i="31"/>
  <c r="R41" i="31" s="1"/>
  <c r="F41" i="32" s="1"/>
  <c r="R18" i="31" a="1"/>
  <c r="R18" i="31" s="1"/>
  <c r="Z25" i="31" l="1" a="1"/>
  <c r="Z25" i="31" s="1"/>
  <c r="Z23" i="31" s="1"/>
  <c r="V25" i="31" a="1"/>
  <c r="V25" i="31" s="1"/>
  <c r="V23" i="31" s="1"/>
  <c r="U25" i="31" a="1"/>
  <c r="U25" i="31" s="1"/>
  <c r="U23" i="31" s="1"/>
  <c r="S25" i="31" a="1"/>
  <c r="S25" i="31" s="1"/>
  <c r="U17" i="31" a="1"/>
  <c r="U17" i="31" s="1"/>
  <c r="S17" i="31" a="1"/>
  <c r="S17" i="31" s="1"/>
  <c r="Z17" i="31" a="1"/>
  <c r="Z17" i="31" s="1"/>
  <c r="Z15" i="31" s="1"/>
  <c r="O17" i="31" a="1"/>
  <c r="O17" i="31" s="1"/>
  <c r="V17" i="31" a="1"/>
  <c r="V17" i="31" s="1"/>
  <c r="V15" i="31" s="1"/>
  <c r="S32" i="31"/>
  <c r="S31" i="31" s="1"/>
  <c r="G40" i="32" s="1"/>
  <c r="Y35" i="31" a="1"/>
  <c r="Y35" i="31" s="1"/>
  <c r="AA35" i="31" s="1"/>
  <c r="Y54" i="31"/>
  <c r="Y53" i="31" s="1"/>
  <c r="Y16" i="31" a="1"/>
  <c r="Y16" i="31" s="1"/>
  <c r="AA16" i="31" s="1"/>
  <c r="B23" i="37" a="1"/>
  <c r="B23" i="37" s="1"/>
  <c r="E23" i="37" s="1"/>
  <c r="B34" i="49"/>
  <c r="B100" i="49"/>
  <c r="R33" i="31" a="1"/>
  <c r="R33" i="31" s="1"/>
  <c r="R32" i="31" s="1"/>
  <c r="R31" i="31" s="1"/>
  <c r="F40" i="32" s="1"/>
  <c r="E42" i="32"/>
  <c r="E64" i="32" s="1"/>
  <c r="R183" i="31"/>
  <c r="R182" i="31" s="1"/>
  <c r="T24" i="31"/>
  <c r="T26" i="31"/>
  <c r="P23" i="5"/>
  <c r="Q23" i="5"/>
  <c r="N23" i="5"/>
  <c r="M23" i="5"/>
  <c r="T19" i="31"/>
  <c r="T27" i="31"/>
  <c r="T18" i="31"/>
  <c r="O31" i="31"/>
  <c r="C42" i="32"/>
  <c r="C64" i="32" s="1"/>
  <c r="C41" i="32"/>
  <c r="AA42" i="31" l="1"/>
  <c r="AA41" i="31" s="1"/>
  <c r="Y42" i="31"/>
  <c r="Y41" i="31" s="1"/>
  <c r="AA54" i="31"/>
  <c r="AA53" i="31" s="1"/>
  <c r="Y18" i="31" a="1"/>
  <c r="Y18" i="31" s="1"/>
  <c r="AA18" i="31" s="1"/>
  <c r="Y26" i="31" a="1"/>
  <c r="Y26" i="31" s="1"/>
  <c r="AA26" i="31" s="1"/>
  <c r="Y24" i="31" a="1"/>
  <c r="Y24" i="31" s="1"/>
  <c r="AA24" i="31" s="1"/>
  <c r="AA183" i="31"/>
  <c r="AA182" i="31" s="1"/>
  <c r="Y27" i="31" a="1"/>
  <c r="Y27" i="31" s="1"/>
  <c r="AA27" i="31" s="1"/>
  <c r="Y19" i="31" a="1"/>
  <c r="Y19" i="31" s="1"/>
  <c r="AA19" i="31" s="1"/>
  <c r="S23" i="5"/>
  <c r="Z14" i="31"/>
  <c r="V14" i="31"/>
  <c r="B24" i="37" a="1"/>
  <c r="B24" i="37" s="1"/>
  <c r="T33" i="31"/>
  <c r="T183" i="31"/>
  <c r="F52" i="32"/>
  <c r="R25" i="31" a="1"/>
  <c r="R25" i="31" s="1"/>
  <c r="U15" i="31"/>
  <c r="U14" i="31" s="1"/>
  <c r="S15" i="31"/>
  <c r="C40" i="32"/>
  <c r="O15" i="31"/>
  <c r="R17" i="31" a="1"/>
  <c r="R17" i="31" s="1"/>
  <c r="E52" i="32"/>
  <c r="Y183" i="31" l="1"/>
  <c r="Y182" i="31" s="1"/>
  <c r="Y33" i="31" a="1"/>
  <c r="Y33" i="31" s="1"/>
  <c r="Y32" i="31" s="1"/>
  <c r="Y31" i="31" s="1"/>
  <c r="E24" i="37"/>
  <c r="B25" i="37" a="1"/>
  <c r="B25" i="37" s="1"/>
  <c r="R29" i="31" a="1"/>
  <c r="R29" i="31" s="1"/>
  <c r="O23" i="31"/>
  <c r="O14" i="31" s="1"/>
  <c r="S23" i="31"/>
  <c r="S14" i="31" s="1"/>
  <c r="R30" i="31" a="1"/>
  <c r="R30" i="31" s="1"/>
  <c r="T25" i="31"/>
  <c r="H3" i="32"/>
  <c r="T17" i="31"/>
  <c r="R15" i="31"/>
  <c r="AA33" i="31" l="1"/>
  <c r="AA32" i="31" s="1"/>
  <c r="AA31" i="31" s="1"/>
  <c r="Y17" i="31" a="1"/>
  <c r="Y17" i="31" s="1"/>
  <c r="Y15" i="31" s="1"/>
  <c r="Y25" i="31" a="1"/>
  <c r="Y25" i="31" s="1"/>
  <c r="AA25" i="31" s="1"/>
  <c r="E25" i="37"/>
  <c r="B26" i="37" a="1"/>
  <c r="B26" i="37" s="1"/>
  <c r="G3" i="32"/>
  <c r="B99" i="49"/>
  <c r="C39" i="32"/>
  <c r="C61" i="32" s="1"/>
  <c r="T29" i="31"/>
  <c r="G39" i="32"/>
  <c r="G61" i="32" s="1"/>
  <c r="R23" i="31"/>
  <c r="R14" i="31" s="1"/>
  <c r="T30" i="31"/>
  <c r="T15" i="31"/>
  <c r="AA17" i="31" l="1"/>
  <c r="AA15" i="31" s="1"/>
  <c r="Y30" i="31" a="1"/>
  <c r="Y30" i="31" s="1"/>
  <c r="AA30" i="31" s="1"/>
  <c r="Y29" i="31" a="1"/>
  <c r="Y29" i="31" s="1"/>
  <c r="AA29" i="31" s="1"/>
  <c r="E26" i="37"/>
  <c r="B27" i="37" a="1"/>
  <c r="B27" i="37" s="1"/>
  <c r="B33" i="49"/>
  <c r="N11" i="30"/>
  <c r="O11" i="30" s="1"/>
  <c r="F39" i="32"/>
  <c r="D3" i="37"/>
  <c r="AA23" i="31" l="1"/>
  <c r="AA14" i="31" s="1"/>
  <c r="Y23" i="31"/>
  <c r="Y14" i="31" s="1"/>
  <c r="E27" i="37"/>
  <c r="B28" i="37" a="1"/>
  <c r="B28" i="37" s="1"/>
  <c r="F61" i="32"/>
  <c r="J4" i="37"/>
  <c r="J5" i="37"/>
  <c r="D4" i="37"/>
  <c r="H4" i="37" s="1" a="1"/>
  <c r="H4" i="37" s="1"/>
  <c r="G3" i="37" a="1"/>
  <c r="G3" i="37" s="1"/>
  <c r="E28" i="37" l="1"/>
  <c r="B29" i="37" a="1"/>
  <c r="B29" i="37" s="1"/>
  <c r="D5" i="37"/>
  <c r="H5" i="37" s="1" a="1"/>
  <c r="H5" i="37" s="1"/>
  <c r="G4" i="37" a="1"/>
  <c r="G4" i="37" s="1"/>
  <c r="E29" i="37" l="1"/>
  <c r="B30" i="37" a="1"/>
  <c r="B30" i="37" s="1"/>
  <c r="B31" i="37" s="1" a="1"/>
  <c r="B31" i="37" s="1"/>
  <c r="D6" i="37"/>
  <c r="H6" i="37" s="1" a="1"/>
  <c r="H6" i="37" s="1"/>
  <c r="G5" i="37" a="1"/>
  <c r="G5" i="37" s="1"/>
  <c r="J6" i="37"/>
  <c r="E31" i="37" l="1"/>
  <c r="E30" i="37"/>
  <c r="B32" i="37" a="1"/>
  <c r="B32" i="37" s="1"/>
  <c r="G6" i="37" a="1"/>
  <c r="G6" i="37" s="1"/>
  <c r="D7" i="37"/>
  <c r="H7" i="37" s="1" a="1"/>
  <c r="H7" i="37" s="1"/>
  <c r="J7" i="37"/>
  <c r="E32" i="37" l="1"/>
  <c r="B33" i="37" a="1"/>
  <c r="B33" i="37" s="1"/>
  <c r="J8" i="37"/>
  <c r="G7" i="37" a="1"/>
  <c r="G7" i="37" s="1"/>
  <c r="D8" i="37"/>
  <c r="H8" i="37" s="1" a="1"/>
  <c r="H8" i="37" s="1"/>
  <c r="E33" i="37" l="1"/>
  <c r="B34" i="37" a="1"/>
  <c r="B34" i="37" s="1"/>
  <c r="D9" i="37"/>
  <c r="H9" i="37" s="1" a="1"/>
  <c r="H9" i="37" s="1"/>
  <c r="J9" i="37"/>
  <c r="E34" i="37" l="1"/>
  <c r="B35" i="37" a="1"/>
  <c r="B35" i="37" s="1"/>
  <c r="D10" i="37"/>
  <c r="H10" i="37" s="1" a="1"/>
  <c r="H10" i="37" s="1"/>
  <c r="J10" i="37"/>
  <c r="B36" i="37" l="1" a="1"/>
  <c r="B36" i="37" s="1"/>
  <c r="E35" i="37"/>
  <c r="D11" i="37"/>
  <c r="H11" i="37" s="1" a="1"/>
  <c r="H11" i="37" s="1"/>
  <c r="G10" i="37" a="1"/>
  <c r="G10" i="37" s="1"/>
  <c r="J11" i="37"/>
  <c r="E36" i="37" l="1"/>
  <c r="B37" i="37" a="1"/>
  <c r="B37" i="37" s="1"/>
  <c r="G11" i="37" a="1"/>
  <c r="G11" i="37" s="1"/>
  <c r="J12" i="37"/>
  <c r="D12" i="37"/>
  <c r="H12" i="37" s="1" a="1"/>
  <c r="H12" i="37" s="1"/>
  <c r="E37" i="37" l="1"/>
  <c r="B38" i="37" a="1"/>
  <c r="B38" i="37" s="1"/>
  <c r="D13" i="37"/>
  <c r="H13" i="37" s="1" a="1"/>
  <c r="H13" i="37" s="1"/>
  <c r="G12" i="37" a="1"/>
  <c r="G12" i="37" s="1"/>
  <c r="J13" i="37"/>
  <c r="E38" i="37" l="1"/>
  <c r="B39" i="37" a="1"/>
  <c r="B39" i="37" s="1"/>
  <c r="D14" i="37"/>
  <c r="H14" i="37" s="1" a="1"/>
  <c r="H14" i="37" s="1"/>
  <c r="G13" i="37" a="1"/>
  <c r="G13" i="37" s="1"/>
  <c r="J14" i="37"/>
  <c r="E39" i="37" l="1"/>
  <c r="B40" i="37" a="1"/>
  <c r="B40" i="37" s="1"/>
  <c r="G14" i="37" a="1"/>
  <c r="G14" i="37" s="1"/>
  <c r="D15" i="37"/>
  <c r="H15" i="37" s="1" a="1"/>
  <c r="H15" i="37" s="1"/>
  <c r="J15" i="37"/>
  <c r="E40" i="37" l="1"/>
  <c r="B41" i="37" a="1"/>
  <c r="B41" i="37" s="1"/>
  <c r="D16" i="37"/>
  <c r="H16" i="37" s="1" a="1"/>
  <c r="H16" i="37" s="1"/>
  <c r="J16" i="37"/>
  <c r="E41" i="37" l="1"/>
  <c r="B42" i="37" a="1"/>
  <c r="B42" i="37" s="1"/>
  <c r="D17" i="37"/>
  <c r="H17" i="37" s="1" a="1"/>
  <c r="H17" i="37" s="1"/>
  <c r="J17" i="37"/>
  <c r="E42" i="37" l="1"/>
  <c r="B43" i="37" a="1"/>
  <c r="B43" i="37" s="1"/>
  <c r="D18" i="37"/>
  <c r="H18" i="37" s="1" a="1"/>
  <c r="H18" i="37" s="1"/>
  <c r="J18" i="37"/>
  <c r="E43" i="37" l="1"/>
  <c r="B44" i="37" a="1"/>
  <c r="B44" i="37" s="1"/>
  <c r="D20" i="37"/>
  <c r="H20" i="37" s="1" a="1"/>
  <c r="H20" i="37" s="1"/>
  <c r="J19" i="37"/>
  <c r="D19" i="37"/>
  <c r="H19" i="37" s="1" a="1"/>
  <c r="H19" i="37" s="1"/>
  <c r="E44" i="37" l="1"/>
  <c r="B45" i="37" a="1"/>
  <c r="B45" i="37" s="1"/>
  <c r="J21" i="37"/>
  <c r="J20" i="37"/>
  <c r="E45" i="37" l="1"/>
  <c r="B46" i="37" a="1"/>
  <c r="B46" i="37" s="1"/>
  <c r="D22" i="37"/>
  <c r="H22" i="37" s="1" a="1"/>
  <c r="H22" i="37" s="1"/>
  <c r="D21" i="37"/>
  <c r="H21" i="37" s="1" a="1"/>
  <c r="H21" i="37" s="1"/>
  <c r="E46" i="37" l="1"/>
  <c r="B47" i="37" a="1"/>
  <c r="B47" i="37" s="1"/>
  <c r="J22" i="37"/>
  <c r="J23" i="37"/>
  <c r="E47" i="37" l="1"/>
  <c r="B48" i="37" a="1"/>
  <c r="B48" i="37" s="1"/>
  <c r="J24" i="37"/>
  <c r="D23" i="37"/>
  <c r="H23" i="37" s="1" a="1"/>
  <c r="H23" i="37" s="1"/>
  <c r="E48" i="37" l="1"/>
  <c r="B49" i="37" a="1"/>
  <c r="B49" i="37" s="1"/>
  <c r="D24" i="37"/>
  <c r="H24" i="37" s="1" a="1"/>
  <c r="H24" i="37" s="1"/>
  <c r="J25" i="37"/>
  <c r="E49" i="37" l="1"/>
  <c r="B50" i="37" a="1"/>
  <c r="B50" i="37" s="1"/>
  <c r="J26" i="37"/>
  <c r="D25" i="37"/>
  <c r="H25" i="37" s="1" a="1"/>
  <c r="H25" i="37" s="1"/>
  <c r="E50" i="37" l="1"/>
  <c r="B51" i="37" a="1"/>
  <c r="B51" i="37" s="1"/>
  <c r="J27" i="37"/>
  <c r="D26" i="37"/>
  <c r="H26" i="37" s="1" a="1"/>
  <c r="H26" i="37" s="1"/>
  <c r="G25" i="37" a="1"/>
  <c r="G25" i="37" s="1"/>
  <c r="B52" i="37" l="1" a="1"/>
  <c r="B52" i="37" s="1"/>
  <c r="E51" i="37"/>
  <c r="J28" i="37"/>
  <c r="D27" i="37"/>
  <c r="H27" i="37" s="1" a="1"/>
  <c r="H27" i="37" s="1"/>
  <c r="G26" i="37" a="1"/>
  <c r="G26" i="37" s="1"/>
  <c r="E52" i="37" l="1"/>
  <c r="B53" i="37" a="1"/>
  <c r="B53" i="37" s="1"/>
  <c r="J29" i="37"/>
  <c r="D28" i="37"/>
  <c r="H28" i="37" s="1" a="1"/>
  <c r="H28" i="37" s="1"/>
  <c r="G27" i="37" a="1"/>
  <c r="G27" i="37" s="1"/>
  <c r="E53" i="37" l="1"/>
  <c r="B54" i="37" a="1"/>
  <c r="B54" i="37" s="1"/>
  <c r="J30" i="37"/>
  <c r="D29" i="37"/>
  <c r="H29" i="37" s="1" a="1"/>
  <c r="H29" i="37" s="1"/>
  <c r="E54" i="37" l="1"/>
  <c r="B55" i="37" a="1"/>
  <c r="B55" i="37" s="1"/>
  <c r="D31" i="37"/>
  <c r="H31" i="37" s="1" a="1"/>
  <c r="H31" i="37" s="1"/>
  <c r="D30" i="37"/>
  <c r="H30" i="37" s="1" a="1"/>
  <c r="H30" i="37" s="1"/>
  <c r="E55" i="37" l="1"/>
  <c r="B56" i="37" a="1"/>
  <c r="B56" i="37" s="1"/>
  <c r="J32" i="37"/>
  <c r="J31" i="37"/>
  <c r="E56" i="37" l="1"/>
  <c r="B57" i="37" a="1"/>
  <c r="B57" i="37" s="1"/>
  <c r="J33" i="37"/>
  <c r="D32" i="37"/>
  <c r="H32" i="37" s="1" a="1"/>
  <c r="H32" i="37" s="1"/>
  <c r="E57" i="37" l="1"/>
  <c r="B58" i="37" a="1"/>
  <c r="B58" i="37" s="1"/>
  <c r="J34" i="37"/>
  <c r="D33" i="37"/>
  <c r="H33" i="37" s="1" a="1"/>
  <c r="H33" i="37" s="1"/>
  <c r="E58" i="37" l="1"/>
  <c r="B59" i="37" a="1"/>
  <c r="B59" i="37" s="1"/>
  <c r="J35" i="37"/>
  <c r="D34" i="37"/>
  <c r="H34" i="37" s="1" a="1"/>
  <c r="H34" i="37" s="1"/>
  <c r="E59" i="37" l="1"/>
  <c r="B60" i="37" a="1"/>
  <c r="B60" i="37" s="1"/>
  <c r="D35" i="37"/>
  <c r="H35" i="37" s="1" a="1"/>
  <c r="H35" i="37" s="1"/>
  <c r="E60" i="37" l="1"/>
  <c r="B61" i="37" a="1"/>
  <c r="B61" i="37" s="1"/>
  <c r="B62" i="37" s="1" a="1"/>
  <c r="B62" i="37" s="1"/>
  <c r="D36" i="37"/>
  <c r="H36" i="37" s="1" a="1"/>
  <c r="H36" i="37" s="1"/>
  <c r="J37" i="37"/>
  <c r="J36" i="37"/>
  <c r="E62" i="37" l="1"/>
  <c r="B63" i="37" a="1"/>
  <c r="B63" i="37" s="1"/>
  <c r="E63" i="37" s="1"/>
  <c r="E61" i="37"/>
  <c r="J38" i="37"/>
  <c r="D37" i="37"/>
  <c r="H37" i="37" s="1" a="1"/>
  <c r="H37" i="37" s="1"/>
  <c r="B64" i="37" l="1" a="1"/>
  <c r="B64" i="37" s="1"/>
  <c r="E64" i="37" s="1"/>
  <c r="J39" i="37"/>
  <c r="D38" i="37"/>
  <c r="H38" i="37" s="1" a="1"/>
  <c r="H38" i="37" s="1"/>
  <c r="B65" i="37" l="1" a="1"/>
  <c r="B65" i="37" s="1"/>
  <c r="E65" i="37" s="1"/>
  <c r="J40" i="37"/>
  <c r="D39" i="37"/>
  <c r="H39" i="37" s="1" a="1"/>
  <c r="H39" i="37" s="1"/>
  <c r="B66" i="37" l="1" a="1"/>
  <c r="B66" i="37" s="1"/>
  <c r="E66" i="37" s="1"/>
  <c r="J41" i="37"/>
  <c r="D40" i="37"/>
  <c r="H40" i="37" s="1" a="1"/>
  <c r="H40" i="37" s="1"/>
  <c r="B67" i="37" l="1" a="1"/>
  <c r="B67" i="37" s="1"/>
  <c r="E67" i="37" s="1"/>
  <c r="D66" i="37"/>
  <c r="J42" i="37"/>
  <c r="D41" i="37"/>
  <c r="H41" i="37" s="1" a="1"/>
  <c r="H41" i="37" s="1"/>
  <c r="B68" i="37" l="1" a="1"/>
  <c r="B68" i="37" s="1"/>
  <c r="E68" i="37" s="1"/>
  <c r="D67" i="37"/>
  <c r="D42" i="37"/>
  <c r="H42" i="37" s="1" a="1"/>
  <c r="H42" i="37" s="1"/>
  <c r="B69" i="37" l="1" a="1"/>
  <c r="B69" i="37" s="1"/>
  <c r="E69" i="37" s="1"/>
  <c r="D68" i="37"/>
  <c r="D43" i="37"/>
  <c r="H43" i="37" s="1" a="1"/>
  <c r="H43" i="37" s="1"/>
  <c r="J45" i="37"/>
  <c r="J43" i="37"/>
  <c r="D69" i="37" l="1"/>
  <c r="D45" i="37"/>
  <c r="J46" i="37"/>
  <c r="J44" i="37"/>
  <c r="D44" i="37"/>
  <c r="H44" i="37" s="1" a="1"/>
  <c r="H44" i="37" s="1"/>
  <c r="H45" i="37" l="1" a="1"/>
  <c r="H45" i="37" s="1"/>
  <c r="D46" i="37"/>
  <c r="J47" i="37"/>
  <c r="H46" i="37" l="1" a="1"/>
  <c r="H46" i="37" s="1"/>
  <c r="D47" i="37"/>
  <c r="J48" i="37"/>
  <c r="F13" i="34"/>
  <c r="G13" i="34" l="1"/>
  <c r="H13" i="34" s="1"/>
  <c r="I13" i="34" s="1"/>
  <c r="J13" i="34"/>
  <c r="H47" i="37" a="1"/>
  <c r="H47" i="37" s="1"/>
  <c r="D48" i="37"/>
  <c r="J49" i="37"/>
  <c r="T119" i="31"/>
  <c r="T153" i="31"/>
  <c r="T110" i="31"/>
  <c r="T144" i="31"/>
  <c r="T260" i="31"/>
  <c r="T54" i="31"/>
  <c r="T211" i="31"/>
  <c r="T252" i="31"/>
  <c r="T76" i="31"/>
  <c r="T247" i="31"/>
  <c r="T266" i="31"/>
  <c r="T169" i="31"/>
  <c r="T10" i="31"/>
  <c r="N8" i="30" s="1"/>
  <c r="O8" i="30" s="1"/>
  <c r="T179" i="31"/>
  <c r="T269" i="31"/>
  <c r="T42" i="31"/>
  <c r="T234" i="31"/>
  <c r="T135" i="31"/>
  <c r="T81" i="31"/>
  <c r="T197" i="31"/>
  <c r="T96" i="31"/>
  <c r="T62" i="31"/>
  <c r="T32" i="31"/>
  <c r="T162" i="31"/>
  <c r="T8" i="31"/>
  <c r="N7" i="30" s="1"/>
  <c r="O7" i="30" s="1"/>
  <c r="T87" i="31"/>
  <c r="T23" i="31"/>
  <c r="T12" i="31"/>
  <c r="N9" i="30" s="1"/>
  <c r="O9" i="30" s="1"/>
  <c r="I20" i="34" l="1"/>
  <c r="D55" i="29" s="1"/>
  <c r="H20" i="34"/>
  <c r="F25" i="32"/>
  <c r="K13" i="34"/>
  <c r="T182" i="31"/>
  <c r="N80" i="30"/>
  <c r="O80" i="30" s="1"/>
  <c r="N39" i="30"/>
  <c r="O39" i="30" s="1"/>
  <c r="N18" i="30"/>
  <c r="O18" i="30" s="1"/>
  <c r="N14" i="30"/>
  <c r="O14" i="30" s="1"/>
  <c r="T95" i="31"/>
  <c r="B46" i="32" s="1"/>
  <c r="N31" i="30"/>
  <c r="O31" i="30" s="1"/>
  <c r="N16" i="30"/>
  <c r="O16" i="30" s="1"/>
  <c r="N41" i="30"/>
  <c r="O41" i="30" s="1"/>
  <c r="N57" i="30"/>
  <c r="O57" i="30" s="1"/>
  <c r="N23" i="30"/>
  <c r="O23" i="30" s="1"/>
  <c r="N12" i="30"/>
  <c r="O12" i="30" s="1"/>
  <c r="N58" i="30"/>
  <c r="O58" i="30" s="1"/>
  <c r="N26" i="30"/>
  <c r="O26" i="30" s="1"/>
  <c r="N24" i="30"/>
  <c r="O24" i="30" s="1"/>
  <c r="N32" i="30"/>
  <c r="O32" i="30" s="1"/>
  <c r="N54" i="30"/>
  <c r="O54" i="30" s="1"/>
  <c r="N49" i="30"/>
  <c r="O49" i="30" s="1"/>
  <c r="N47" i="30"/>
  <c r="O47" i="30" s="1"/>
  <c r="N46" i="30"/>
  <c r="O46" i="30" s="1"/>
  <c r="N20" i="30"/>
  <c r="O20" i="30" s="1"/>
  <c r="T61" i="31"/>
  <c r="N51" i="30"/>
  <c r="O51" i="30" s="1"/>
  <c r="N28" i="30"/>
  <c r="O28" i="30" s="1"/>
  <c r="N45" i="30"/>
  <c r="O45" i="30" s="1"/>
  <c r="N43" i="30"/>
  <c r="O43" i="30" s="1"/>
  <c r="N37" i="30"/>
  <c r="O37" i="30" s="1"/>
  <c r="N36" i="30"/>
  <c r="O36" i="30" s="1"/>
  <c r="N35" i="30"/>
  <c r="O35" i="30" s="1"/>
  <c r="T53" i="31"/>
  <c r="D6" i="32" s="1"/>
  <c r="T31" i="31"/>
  <c r="D21" i="32"/>
  <c r="D22" i="32"/>
  <c r="D20" i="32"/>
  <c r="T161" i="31"/>
  <c r="B49" i="32" s="1"/>
  <c r="T178" i="31"/>
  <c r="B58" i="32"/>
  <c r="K58" i="32" s="1"/>
  <c r="P58" i="32" s="1"/>
  <c r="B56" i="32"/>
  <c r="B57" i="32"/>
  <c r="K57" i="32" s="1"/>
  <c r="P57" i="32" s="1"/>
  <c r="H48" i="37" a="1"/>
  <c r="H48" i="37" s="1"/>
  <c r="D49" i="37"/>
  <c r="T14" i="31"/>
  <c r="T168" i="31"/>
  <c r="T86" i="31"/>
  <c r="T246" i="31"/>
  <c r="T41" i="31"/>
  <c r="T75" i="31"/>
  <c r="T134" i="31"/>
  <c r="B41" i="49" l="1"/>
  <c r="F32" i="32"/>
  <c r="L13" i="34"/>
  <c r="L20" i="34" s="1"/>
  <c r="D74" i="29" s="1"/>
  <c r="K20" i="34"/>
  <c r="D70" i="29"/>
  <c r="B8" i="49"/>
  <c r="B93" i="49"/>
  <c r="B95" i="49"/>
  <c r="B94" i="49"/>
  <c r="B79" i="49"/>
  <c r="K56" i="32"/>
  <c r="P56" i="32" s="1"/>
  <c r="I52" i="32"/>
  <c r="I51" i="32"/>
  <c r="K46" i="32"/>
  <c r="N46" i="32" s="1"/>
  <c r="I46" i="32"/>
  <c r="N48" i="30"/>
  <c r="O48" i="30" s="1"/>
  <c r="N50" i="30"/>
  <c r="O50" i="30" s="1"/>
  <c r="N52" i="30"/>
  <c r="O52" i="30" s="1"/>
  <c r="D7" i="32"/>
  <c r="B43" i="32"/>
  <c r="D10" i="32"/>
  <c r="B42" i="32"/>
  <c r="D4" i="32"/>
  <c r="B40" i="32"/>
  <c r="D12" i="32"/>
  <c r="D15" i="32"/>
  <c r="D8" i="32"/>
  <c r="D5" i="32"/>
  <c r="B51" i="32"/>
  <c r="K51" i="32" s="1"/>
  <c r="O51" i="32" s="1"/>
  <c r="D18" i="32"/>
  <c r="D9" i="32"/>
  <c r="D14" i="32"/>
  <c r="D13" i="32"/>
  <c r="B39" i="32"/>
  <c r="D3" i="32"/>
  <c r="E19" i="32"/>
  <c r="B77" i="32"/>
  <c r="B48" i="32"/>
  <c r="B44" i="32"/>
  <c r="B41" i="32"/>
  <c r="B54" i="32"/>
  <c r="K54" i="32" s="1"/>
  <c r="O54" i="32" s="1"/>
  <c r="B45" i="32"/>
  <c r="B50" i="32"/>
  <c r="J50" i="37"/>
  <c r="H49" i="37" a="1"/>
  <c r="H49" i="37" s="1"/>
  <c r="D50" i="37"/>
  <c r="E2" i="32"/>
  <c r="B29" i="49" l="1"/>
  <c r="B25" i="49"/>
  <c r="B77" i="49"/>
  <c r="B83" i="49"/>
  <c r="B80" i="49"/>
  <c r="B86" i="49"/>
  <c r="B87" i="49"/>
  <c r="B82" i="49"/>
  <c r="B91" i="49"/>
  <c r="B81" i="49"/>
  <c r="B88" i="49"/>
  <c r="B85" i="49"/>
  <c r="B76" i="49"/>
  <c r="B78" i="49"/>
  <c r="K50" i="32"/>
  <c r="O50" i="32" s="1"/>
  <c r="I50" i="32"/>
  <c r="K45" i="32"/>
  <c r="N45" i="32" s="1"/>
  <c r="I45" i="32"/>
  <c r="K40" i="32"/>
  <c r="M40" i="32" s="1"/>
  <c r="I40" i="32"/>
  <c r="K41" i="32"/>
  <c r="M41" i="32" s="1"/>
  <c r="I41" i="32"/>
  <c r="K44" i="32"/>
  <c r="N44" i="32" s="1"/>
  <c r="I44" i="32"/>
  <c r="K42" i="32"/>
  <c r="N42" i="32" s="1"/>
  <c r="I42" i="32"/>
  <c r="K48" i="32"/>
  <c r="O48" i="32" s="1"/>
  <c r="I48" i="32"/>
  <c r="K43" i="32"/>
  <c r="N43" i="32" s="1"/>
  <c r="I43" i="32"/>
  <c r="K39" i="32"/>
  <c r="M39" i="32" s="1"/>
  <c r="I39" i="32"/>
  <c r="E6" i="32"/>
  <c r="E3" i="32"/>
  <c r="B64" i="32"/>
  <c r="B61" i="32"/>
  <c r="J51" i="37"/>
  <c r="H50" i="37" a="1"/>
  <c r="H50" i="37" s="1"/>
  <c r="D51" i="37"/>
  <c r="B27" i="49" l="1"/>
  <c r="B26" i="49"/>
  <c r="B52" i="32"/>
  <c r="D16" i="32"/>
  <c r="H16" i="32"/>
  <c r="J52" i="37"/>
  <c r="D52" i="37"/>
  <c r="G51" i="37" a="1"/>
  <c r="G51" i="37" s="1"/>
  <c r="H51" i="37" a="1"/>
  <c r="H51" i="37" s="1"/>
  <c r="B89" i="49" l="1"/>
  <c r="B112" i="49"/>
  <c r="K52" i="32"/>
  <c r="O52" i="32" s="1"/>
  <c r="I49" i="32"/>
  <c r="D53" i="37"/>
  <c r="H52" i="37" a="1"/>
  <c r="H52" i="37" s="1"/>
  <c r="G52" i="37" a="1"/>
  <c r="G52" i="37" s="1"/>
  <c r="J53" i="37"/>
  <c r="J54" i="37" l="1"/>
  <c r="D54" i="37"/>
  <c r="G53" i="37" a="1"/>
  <c r="G53" i="37" s="1"/>
  <c r="H53" i="37" a="1"/>
  <c r="H53" i="37" s="1"/>
  <c r="J55" i="37" l="1"/>
  <c r="D55" i="37"/>
  <c r="G54" i="37" a="1"/>
  <c r="G54" i="37" s="1"/>
  <c r="H54" i="37" a="1"/>
  <c r="H54" i="37" s="1"/>
  <c r="G55" i="37" l="1" a="1"/>
  <c r="G55" i="37" s="1"/>
  <c r="H55" i="37" a="1"/>
  <c r="H55" i="37" s="1"/>
  <c r="J56" i="37"/>
  <c r="D56" i="37"/>
  <c r="J57" i="37" l="1"/>
  <c r="D57" i="37"/>
  <c r="G56" i="37" a="1"/>
  <c r="G56" i="37" s="1"/>
  <c r="H56" i="37" a="1"/>
  <c r="H56" i="37" s="1"/>
  <c r="J58" i="37" l="1"/>
  <c r="D58" i="37"/>
  <c r="H57" i="37" a="1"/>
  <c r="H57" i="37" s="1"/>
  <c r="G57" i="37" a="1"/>
  <c r="G57" i="37" s="1"/>
  <c r="D59" i="37" l="1"/>
  <c r="G59" i="37" s="1" a="1"/>
  <c r="G59" i="37" s="1"/>
  <c r="J59" i="37"/>
  <c r="G58" i="37" a="1"/>
  <c r="G58" i="37" s="1"/>
  <c r="H58" i="37" a="1"/>
  <c r="H58" i="37" s="1"/>
  <c r="H59" i="37" l="1" a="1"/>
  <c r="H59" i="37" s="1"/>
  <c r="D60" i="37"/>
  <c r="J60" i="37"/>
  <c r="H60" i="37" l="1" a="1"/>
  <c r="H60" i="37" s="1"/>
  <c r="G60" i="37" a="1"/>
  <c r="G60" i="37" s="1"/>
  <c r="D61" i="37"/>
  <c r="G61" i="37" s="1" a="1"/>
  <c r="G61" i="37" s="1"/>
  <c r="J61" i="37"/>
  <c r="H61" i="37" l="1" a="1"/>
  <c r="H61" i="37" s="1"/>
  <c r="D62" i="37"/>
  <c r="H62" i="37" s="1" a="1"/>
  <c r="H62" i="37" s="1"/>
  <c r="J62" i="37"/>
  <c r="G62" i="37" l="1" a="1"/>
  <c r="G62" i="37" s="1"/>
  <c r="D63" i="37"/>
  <c r="J63" i="37"/>
  <c r="D64" i="37" l="1"/>
  <c r="J64" i="37"/>
  <c r="H63" i="37" a="1"/>
  <c r="H63" i="37" s="1"/>
  <c r="G63" i="37" a="1"/>
  <c r="G63" i="37" s="1"/>
  <c r="R46" i="37" l="1"/>
  <c r="S46" i="37" s="1"/>
  <c r="H64" i="37" a="1"/>
  <c r="H64" i="37" s="1"/>
  <c r="G64" i="37" a="1"/>
  <c r="G64" i="37" s="1"/>
  <c r="D65" i="37"/>
  <c r="J65" i="37"/>
  <c r="H65" i="37" l="1" a="1"/>
  <c r="H65" i="37" s="1"/>
  <c r="G65" i="37" a="1"/>
  <c r="G65" i="37" s="1"/>
  <c r="J66" i="37"/>
  <c r="H66" i="37" l="1" a="1"/>
  <c r="H66" i="37" s="1"/>
  <c r="G66" i="37" a="1"/>
  <c r="G66" i="37" s="1"/>
  <c r="H67" i="37" a="1"/>
  <c r="H67" i="37" s="1"/>
  <c r="J67" i="37"/>
  <c r="J68" i="37" l="1"/>
  <c r="G67" i="37" a="1"/>
  <c r="G67" i="37" s="1"/>
  <c r="H68" i="37" l="1" a="1"/>
  <c r="H68" i="37" s="1"/>
  <c r="G68" i="37" a="1"/>
  <c r="G68" i="37" s="1"/>
  <c r="J69" i="37"/>
  <c r="G69" i="37" l="1" a="1"/>
  <c r="G69" i="37" s="1"/>
  <c r="H69" i="37" a="1"/>
  <c r="H69" i="37" s="1"/>
  <c r="D34" i="33"/>
  <c r="L33" i="30" s="1"/>
  <c r="K33" i="30" l="1"/>
  <c r="K128" i="31" s="1"/>
  <c r="L55" i="30"/>
  <c r="K55" i="30" s="1"/>
  <c r="K240" i="31" s="1"/>
  <c r="K245" i="31" l="1"/>
  <c r="K241" i="31"/>
  <c r="K243" i="31"/>
  <c r="K244" i="31"/>
  <c r="K242" i="31"/>
  <c r="K133" i="31"/>
  <c r="K129" i="31"/>
  <c r="G18" i="37" s="1" a="1"/>
  <c r="G18" i="37" s="1"/>
  <c r="K130" i="31"/>
  <c r="G35" i="37" s="1" a="1"/>
  <c r="G35" i="37" s="1"/>
  <c r="K132" i="31"/>
  <c r="K131" i="31"/>
  <c r="G37" i="37" l="1" a="1"/>
  <c r="G37" i="37" s="1"/>
  <c r="G50" i="37" a="1"/>
  <c r="G50" i="37" s="1"/>
  <c r="G17" i="37" a="1"/>
  <c r="G17" i="37" s="1"/>
  <c r="G34" i="37" a="1"/>
  <c r="G34" i="37" s="1"/>
  <c r="G36" i="37" a="1"/>
  <c r="G36" i="37" s="1"/>
  <c r="G48" i="37" a="1"/>
  <c r="G48" i="37" s="1"/>
  <c r="G49" i="37" a="1"/>
  <c r="G49" i="37" s="1"/>
  <c r="G33" i="37" a="1"/>
  <c r="G33" i="37" s="1"/>
  <c r="G19" i="37" a="1"/>
  <c r="G19" i="37" s="1"/>
  <c r="G9" i="37" a="1"/>
  <c r="G9" i="37" s="1"/>
  <c r="G16" i="37" a="1"/>
  <c r="G16" i="37" s="1"/>
  <c r="G24" i="37" a="1"/>
  <c r="G24" i="37" s="1"/>
  <c r="G30" i="37" a="1"/>
  <c r="G30" i="37" s="1"/>
  <c r="G32" i="37" a="1"/>
  <c r="G32" i="37" s="1"/>
  <c r="G39" i="37" a="1"/>
  <c r="G39" i="37" s="1"/>
  <c r="G47" i="37" a="1"/>
  <c r="G47" i="37" s="1"/>
  <c r="G28" i="37" a="1"/>
  <c r="G28" i="37" s="1"/>
  <c r="F57" i="37" a="1"/>
  <c r="F57" i="37" s="1"/>
  <c r="I57" i="37" s="1"/>
  <c r="F50" i="37" a="1"/>
  <c r="F50" i="37" s="1"/>
  <c r="I50" i="37" s="1"/>
  <c r="F37" i="37" a="1"/>
  <c r="F37" i="37" s="1"/>
  <c r="I37" i="37" s="1"/>
  <c r="F58" i="37" a="1"/>
  <c r="F58" i="37" s="1"/>
  <c r="I58" i="37" s="1"/>
  <c r="U242" i="31" a="1"/>
  <c r="U242" i="31" s="1"/>
  <c r="Z242" i="31" a="1"/>
  <c r="Z242" i="31" s="1"/>
  <c r="S242" i="31" a="1"/>
  <c r="S242" i="31" s="1"/>
  <c r="V242" i="31" a="1"/>
  <c r="V242" i="31" s="1"/>
  <c r="O242" i="31" a="1"/>
  <c r="O242" i="31" s="1"/>
  <c r="O243" i="31" a="1"/>
  <c r="O243" i="31" s="1"/>
  <c r="Z243" i="31" a="1"/>
  <c r="Z243" i="31" s="1"/>
  <c r="V243" i="31" a="1"/>
  <c r="V243" i="31" s="1"/>
  <c r="U243" i="31" a="1"/>
  <c r="U243" i="31" s="1"/>
  <c r="S243" i="31" a="1"/>
  <c r="S243" i="31" s="1"/>
  <c r="F34" i="37" a="1"/>
  <c r="F34" i="37" s="1"/>
  <c r="O131" i="31" a="1"/>
  <c r="O131" i="31" s="1"/>
  <c r="V131" i="31" a="1"/>
  <c r="V131" i="31" s="1"/>
  <c r="Z131" i="31" a="1"/>
  <c r="Z131" i="31" s="1"/>
  <c r="S131" i="31" a="1"/>
  <c r="S131" i="31" s="1"/>
  <c r="U131" i="31" a="1"/>
  <c r="U131" i="31" s="1"/>
  <c r="V132" i="31" a="1"/>
  <c r="V132" i="31" s="1"/>
  <c r="O132" i="31" a="1"/>
  <c r="O132" i="31" s="1"/>
  <c r="Z132" i="31" a="1"/>
  <c r="Z132" i="31" s="1"/>
  <c r="S132" i="31" a="1"/>
  <c r="S132" i="31" s="1"/>
  <c r="U132" i="31" a="1"/>
  <c r="U132" i="31" s="1"/>
  <c r="F10" i="37" a="1"/>
  <c r="F10" i="37" s="1"/>
  <c r="I10" i="37" s="1"/>
  <c r="U130" i="31" a="1"/>
  <c r="U130" i="31" s="1"/>
  <c r="Z130" i="31" a="1"/>
  <c r="Z130" i="31" s="1"/>
  <c r="V130" i="31" a="1"/>
  <c r="V130" i="31" s="1"/>
  <c r="O130" i="31" a="1"/>
  <c r="O130" i="31" s="1"/>
  <c r="S130" i="31" a="1"/>
  <c r="S130" i="31" s="1"/>
  <c r="F63" i="37" a="1"/>
  <c r="F63" i="37" s="1"/>
  <c r="I63" i="37" s="1"/>
  <c r="F47" i="37" a="1"/>
  <c r="F47" i="37" s="1"/>
  <c r="F8" i="37" a="1"/>
  <c r="F8" i="37" s="1"/>
  <c r="F7" i="37" a="1"/>
  <c r="F7" i="37" s="1"/>
  <c r="I7" i="37" s="1"/>
  <c r="H3" i="37" a="1"/>
  <c r="H3" i="37" s="1"/>
  <c r="F35" i="37" a="1"/>
  <c r="F35" i="37" s="1"/>
  <c r="I35" i="37" s="1"/>
  <c r="F48" i="37" a="1"/>
  <c r="F48" i="37" s="1"/>
  <c r="G46" i="37" a="1"/>
  <c r="G46" i="37" s="1"/>
  <c r="F38" i="37" a="1"/>
  <c r="F38" i="37" s="1"/>
  <c r="F60" i="37" a="1"/>
  <c r="F60" i="37" s="1"/>
  <c r="I60" i="37" s="1"/>
  <c r="F16" i="37" a="1"/>
  <c r="F16" i="37" s="1"/>
  <c r="F44" i="37" a="1"/>
  <c r="F44" i="37" s="1"/>
  <c r="Z129" i="31" a="1"/>
  <c r="Z129" i="31" s="1"/>
  <c r="F11" i="37" a="1"/>
  <c r="F11" i="37" s="1"/>
  <c r="I11" i="37" s="1"/>
  <c r="G43" i="37" a="1"/>
  <c r="G43" i="37" s="1"/>
  <c r="G44" i="37" a="1"/>
  <c r="G44" i="37" s="1"/>
  <c r="G31" i="37" a="1"/>
  <c r="G31" i="37" s="1"/>
  <c r="F13" i="37" a="1"/>
  <c r="F13" i="37" s="1"/>
  <c r="I13" i="37" s="1"/>
  <c r="F42" i="37" a="1"/>
  <c r="F42" i="37" s="1"/>
  <c r="F24" i="37" a="1"/>
  <c r="F24" i="37" s="1"/>
  <c r="F41" i="37" a="1"/>
  <c r="F41" i="37" s="1"/>
  <c r="I41" i="37" s="1"/>
  <c r="F56" i="37" a="1"/>
  <c r="F56" i="37" s="1"/>
  <c r="I56" i="37" s="1"/>
  <c r="F5" i="37" a="1"/>
  <c r="F5" i="37" s="1"/>
  <c r="I5" i="37" s="1"/>
  <c r="G38" i="37" a="1"/>
  <c r="G38" i="37" s="1"/>
  <c r="F69" i="37" a="1"/>
  <c r="F69" i="37" s="1"/>
  <c r="I69" i="37" s="1"/>
  <c r="F22" i="37" a="1"/>
  <c r="F22" i="37" s="1"/>
  <c r="F39" i="37" a="1"/>
  <c r="F39" i="37" s="1"/>
  <c r="I39" i="37" s="1"/>
  <c r="G29" i="37" a="1"/>
  <c r="G29" i="37" s="1"/>
  <c r="O129" i="31" a="1"/>
  <c r="O129" i="31" s="1"/>
  <c r="F19" i="37" a="1"/>
  <c r="F19" i="37" s="1"/>
  <c r="G22" i="37" a="1"/>
  <c r="G22" i="37" s="1"/>
  <c r="F6" i="37" a="1"/>
  <c r="F6" i="37" s="1"/>
  <c r="I6" i="37" s="1"/>
  <c r="F30" i="37" a="1"/>
  <c r="F30" i="37" s="1"/>
  <c r="I30" i="37" s="1"/>
  <c r="F15" i="37" a="1"/>
  <c r="F15" i="37" s="1"/>
  <c r="I15" i="37" s="1"/>
  <c r="G20" i="37" a="1"/>
  <c r="G20" i="37" s="1"/>
  <c r="F52" i="37" a="1"/>
  <c r="F52" i="37" s="1"/>
  <c r="I52" i="37" s="1"/>
  <c r="F23" i="37" a="1"/>
  <c r="F23" i="37" s="1"/>
  <c r="G40" i="37" a="1"/>
  <c r="G40" i="37" s="1"/>
  <c r="F20" i="37" a="1"/>
  <c r="F20" i="37" s="1"/>
  <c r="F62" i="37" a="1"/>
  <c r="F62" i="37" s="1"/>
  <c r="I62" i="37" s="1"/>
  <c r="F14" i="37" a="1"/>
  <c r="F14" i="37" s="1"/>
  <c r="I14" i="37" s="1"/>
  <c r="F32" i="37" a="1"/>
  <c r="F32" i="37" s="1"/>
  <c r="G23" i="37" a="1"/>
  <c r="G23" i="37" s="1"/>
  <c r="F64" i="37" a="1"/>
  <c r="F64" i="37" s="1"/>
  <c r="I64" i="37" s="1"/>
  <c r="F66" i="37" a="1"/>
  <c r="F66" i="37" s="1"/>
  <c r="I66" i="37" s="1"/>
  <c r="F29" i="37" a="1"/>
  <c r="F29" i="37" s="1"/>
  <c r="F49" i="37" a="1"/>
  <c r="F49" i="37" s="1"/>
  <c r="F43" i="37" a="1"/>
  <c r="F43" i="37" s="1"/>
  <c r="F26" i="37" a="1"/>
  <c r="F26" i="37" s="1"/>
  <c r="I26" i="37" s="1"/>
  <c r="F9" i="37" a="1"/>
  <c r="F9" i="37" s="1"/>
  <c r="G45" i="37" a="1"/>
  <c r="G45" i="37" s="1"/>
  <c r="G15" i="37" a="1"/>
  <c r="G15" i="37" s="1"/>
  <c r="F55" i="37" a="1"/>
  <c r="F55" i="37" s="1"/>
  <c r="I55" i="37" s="1"/>
  <c r="F51" i="37" a="1"/>
  <c r="F51" i="37" s="1"/>
  <c r="I51" i="37" s="1"/>
  <c r="F53" i="37" a="1"/>
  <c r="F53" i="37" s="1"/>
  <c r="I53" i="37" s="1"/>
  <c r="F25" i="37" a="1"/>
  <c r="F25" i="37" s="1"/>
  <c r="I25" i="37" s="1"/>
  <c r="F28" i="37" a="1"/>
  <c r="F28" i="37" s="1"/>
  <c r="V129" i="31" a="1"/>
  <c r="V129" i="31" s="1"/>
  <c r="F31" i="37" a="1"/>
  <c r="F31" i="37" s="1"/>
  <c r="I31" i="37" s="1"/>
  <c r="F4" i="37" a="1"/>
  <c r="F4" i="37" s="1"/>
  <c r="I4" i="37" s="1"/>
  <c r="F40" i="37" a="1"/>
  <c r="F40" i="37" s="1"/>
  <c r="S129" i="31" a="1"/>
  <c r="S129" i="31" s="1"/>
  <c r="G42" i="37" a="1"/>
  <c r="G42" i="37" s="1"/>
  <c r="F18" i="37" a="1"/>
  <c r="F18" i="37" s="1"/>
  <c r="I18" i="37" s="1"/>
  <c r="F21" i="37" a="1"/>
  <c r="F21" i="37" s="1"/>
  <c r="U129" i="31" a="1"/>
  <c r="U129" i="31" s="1"/>
  <c r="F36" i="37" a="1"/>
  <c r="F36" i="37" s="1"/>
  <c r="F27" i="37" a="1"/>
  <c r="F27" i="37" s="1"/>
  <c r="I27" i="37" s="1"/>
  <c r="F12" i="37" a="1"/>
  <c r="F12" i="37" s="1"/>
  <c r="I12" i="37" s="1"/>
  <c r="F46" i="37" a="1"/>
  <c r="F46" i="37" s="1"/>
  <c r="I46" i="37" s="1"/>
  <c r="F68" i="37" a="1"/>
  <c r="F68" i="37" s="1"/>
  <c r="I68" i="37" s="1"/>
  <c r="F33" i="37" a="1"/>
  <c r="F33" i="37" s="1"/>
  <c r="F61" i="37" a="1"/>
  <c r="F61" i="37" s="1"/>
  <c r="I61" i="37" s="1"/>
  <c r="G21" i="37" a="1"/>
  <c r="G21" i="37" s="1"/>
  <c r="F65" i="37" a="1"/>
  <c r="F65" i="37" s="1"/>
  <c r="I65" i="37" s="1"/>
  <c r="G41" i="37" a="1"/>
  <c r="G41" i="37" s="1"/>
  <c r="F67" i="37" a="1"/>
  <c r="F67" i="37" s="1"/>
  <c r="I67" i="37" s="1"/>
  <c r="F17" i="37" a="1"/>
  <c r="F17" i="37" s="1"/>
  <c r="I17" i="37" s="1"/>
  <c r="F59" i="37" a="1"/>
  <c r="F59" i="37" s="1"/>
  <c r="I59" i="37" s="1"/>
  <c r="F54" i="37" a="1"/>
  <c r="F54" i="37" s="1"/>
  <c r="I54" i="37" s="1"/>
  <c r="F45" i="37" a="1"/>
  <c r="F45" i="37" s="1"/>
  <c r="G8" i="37" a="1"/>
  <c r="G8" i="37" s="1"/>
  <c r="V244" i="31" a="1"/>
  <c r="V244" i="31" s="1"/>
  <c r="O244" i="31" a="1"/>
  <c r="O244" i="31" s="1"/>
  <c r="U244" i="31" a="1"/>
  <c r="U244" i="31" s="1"/>
  <c r="Z244" i="31" a="1"/>
  <c r="Z244" i="31" s="1"/>
  <c r="S244" i="31" a="1"/>
  <c r="S244" i="31" s="1"/>
  <c r="O241" i="31" a="1"/>
  <c r="O241" i="31" s="1"/>
  <c r="U241" i="31" a="1"/>
  <c r="U241" i="31" s="1"/>
  <c r="Z241" i="31" a="1"/>
  <c r="Z241" i="31" s="1"/>
  <c r="V241" i="31" a="1"/>
  <c r="V241" i="31" s="1"/>
  <c r="S241" i="31" a="1"/>
  <c r="S241" i="31" s="1"/>
  <c r="F3" i="37" a="1"/>
  <c r="F3" i="37" s="1"/>
  <c r="U133" i="31" a="1"/>
  <c r="U133" i="31" s="1"/>
  <c r="V133" i="31" a="1"/>
  <c r="V133" i="31" s="1"/>
  <c r="Z133" i="31" a="1"/>
  <c r="Z133" i="31" s="1"/>
  <c r="O133" i="31" a="1"/>
  <c r="O133" i="31" s="1"/>
  <c r="S133" i="31" a="1"/>
  <c r="S133" i="31" s="1"/>
  <c r="O245" i="31" a="1"/>
  <c r="O245" i="31" s="1"/>
  <c r="Z245" i="31" a="1"/>
  <c r="Z245" i="31" s="1"/>
  <c r="S245" i="31" a="1"/>
  <c r="S245" i="31" s="1"/>
  <c r="V245" i="31" a="1"/>
  <c r="V245" i="31" s="1"/>
  <c r="U245" i="31" a="1"/>
  <c r="U245" i="31" s="1"/>
  <c r="I20" i="37" l="1"/>
  <c r="I36" i="37"/>
  <c r="I19" i="37"/>
  <c r="I49" i="37"/>
  <c r="I48" i="37"/>
  <c r="I24" i="37"/>
  <c r="I16" i="37"/>
  <c r="I9" i="37"/>
  <c r="I34" i="37"/>
  <c r="I45" i="37"/>
  <c r="I33" i="37"/>
  <c r="I32" i="37"/>
  <c r="I28" i="37"/>
  <c r="I42" i="37"/>
  <c r="I43" i="37"/>
  <c r="I22" i="37"/>
  <c r="I23" i="37"/>
  <c r="I44" i="37"/>
  <c r="I21" i="37"/>
  <c r="I47" i="37"/>
  <c r="I40" i="37"/>
  <c r="I29" i="37"/>
  <c r="I38" i="37"/>
  <c r="X242" i="31"/>
  <c r="I8" i="37"/>
  <c r="U240" i="31"/>
  <c r="U233" i="31" s="1"/>
  <c r="H17" i="32" s="1"/>
  <c r="B113" i="49" s="1"/>
  <c r="I3" i="37"/>
  <c r="Z240" i="31"/>
  <c r="Z233" i="31" s="1"/>
  <c r="V240" i="31"/>
  <c r="V233" i="31" s="1"/>
  <c r="X241" i="31"/>
  <c r="R132" i="31" a="1"/>
  <c r="R132" i="31" s="1"/>
  <c r="T132" i="31" s="1"/>
  <c r="Y132" i="31" s="1" a="1"/>
  <c r="Y132" i="31" s="1"/>
  <c r="AA132" i="31" s="1"/>
  <c r="O128" i="31"/>
  <c r="O109" i="31" s="1"/>
  <c r="R129" i="31" a="1"/>
  <c r="R129" i="31" s="1"/>
  <c r="S128" i="31"/>
  <c r="S109" i="31" s="1"/>
  <c r="R245" i="31" a="1"/>
  <c r="R245" i="31" s="1"/>
  <c r="T245" i="31" s="1"/>
  <c r="Y245" i="31" s="1" a="1"/>
  <c r="Y245" i="31" s="1"/>
  <c r="AA245" i="31" s="1"/>
  <c r="X243" i="31"/>
  <c r="R131" i="31" a="1"/>
  <c r="R131" i="31" s="1"/>
  <c r="T131" i="31" s="1"/>
  <c r="Y131" i="31" s="1" a="1"/>
  <c r="Y131" i="31" s="1"/>
  <c r="AA131" i="31" s="1"/>
  <c r="R244" i="31" a="1"/>
  <c r="R244" i="31" s="1"/>
  <c r="Q244" i="31"/>
  <c r="R130" i="31" a="1"/>
  <c r="R130" i="31" s="1"/>
  <c r="T130" i="31" s="1"/>
  <c r="Y130" i="31" s="1" a="1"/>
  <c r="Y130" i="31" s="1"/>
  <c r="AA130" i="31" s="1"/>
  <c r="Q243" i="31"/>
  <c r="R243" i="31" a="1"/>
  <c r="R243" i="31" s="1"/>
  <c r="R242" i="31" a="1"/>
  <c r="R242" i="31" s="1"/>
  <c r="Q242" i="31"/>
  <c r="R133" i="31" a="1"/>
  <c r="R133" i="31" s="1"/>
  <c r="T133" i="31" s="1"/>
  <c r="Y133" i="31" s="1" a="1"/>
  <c r="Y133" i="31" s="1"/>
  <c r="AA133" i="31" s="1"/>
  <c r="V128" i="31"/>
  <c r="V109" i="31" s="1"/>
  <c r="Z128" i="31"/>
  <c r="Z109" i="31" s="1"/>
  <c r="R241" i="31" a="1"/>
  <c r="R241" i="31" s="1"/>
  <c r="Q241" i="31"/>
  <c r="O240" i="31"/>
  <c r="O233" i="31" s="1"/>
  <c r="C53" i="32" s="1"/>
  <c r="U128" i="31"/>
  <c r="U109" i="31" s="1"/>
  <c r="X244" i="31"/>
  <c r="S240" i="31"/>
  <c r="S233" i="31" s="1"/>
  <c r="G53" i="32" s="1"/>
  <c r="T243" i="31" l="1"/>
  <c r="Y243" i="31" s="1" a="1"/>
  <c r="Y243" i="31" s="1"/>
  <c r="AA243" i="31" s="1"/>
  <c r="Z292" i="31"/>
  <c r="T241" i="31"/>
  <c r="V292" i="31"/>
  <c r="T242" i="31"/>
  <c r="Y242" i="31" s="1" a="1"/>
  <c r="Y242" i="31" s="1"/>
  <c r="AA242" i="31" s="1"/>
  <c r="T244" i="31"/>
  <c r="Y244" i="31" s="1" a="1"/>
  <c r="Y244" i="31" s="1"/>
  <c r="AA244" i="31" s="1"/>
  <c r="H11" i="32"/>
  <c r="U292" i="31"/>
  <c r="U293" i="31" s="1"/>
  <c r="G47" i="32"/>
  <c r="G69" i="32" s="1"/>
  <c r="S292" i="31"/>
  <c r="D66" i="29" s="1"/>
  <c r="R128" i="31"/>
  <c r="R109" i="31" s="1"/>
  <c r="T129" i="31"/>
  <c r="Q240" i="31"/>
  <c r="Q233" i="31" s="1"/>
  <c r="R240" i="31"/>
  <c r="R233" i="31" s="1"/>
  <c r="F53" i="32" s="1"/>
  <c r="O292" i="31"/>
  <c r="D62" i="29" s="1"/>
  <c r="C47" i="32"/>
  <c r="C69" i="32" s="1"/>
  <c r="X240" i="31"/>
  <c r="X233" i="31" s="1"/>
  <c r="X292" i="31" s="1"/>
  <c r="T240" i="31" l="1"/>
  <c r="N55" i="30" s="1"/>
  <c r="O55" i="30" s="1"/>
  <c r="Y241" i="31" a="1"/>
  <c r="Y241" i="31" s="1"/>
  <c r="Y240" i="31" s="1"/>
  <c r="Y233" i="31" s="1"/>
  <c r="E53" i="32"/>
  <c r="E69" i="32" s="1"/>
  <c r="Q292" i="31"/>
  <c r="D64" i="29" s="1"/>
  <c r="T128" i="31"/>
  <c r="Y129" i="31" a="1"/>
  <c r="Y129" i="31" s="1"/>
  <c r="F47" i="32"/>
  <c r="F69" i="32" s="1"/>
  <c r="R292" i="31"/>
  <c r="D65" i="29" s="1"/>
  <c r="B107" i="49"/>
  <c r="G11" i="32"/>
  <c r="T233" i="31" l="1"/>
  <c r="D17" i="32" s="1"/>
  <c r="B90" i="49" s="1"/>
  <c r="AA241" i="31"/>
  <c r="AA240" i="31" s="1"/>
  <c r="AA233" i="31" s="1"/>
  <c r="B11" i="49"/>
  <c r="D75" i="29"/>
  <c r="B35" i="49"/>
  <c r="Y128" i="31"/>
  <c r="Y109" i="31" s="1"/>
  <c r="Y292" i="31" s="1"/>
  <c r="AA129" i="31"/>
  <c r="AA128" i="31" s="1"/>
  <c r="AA109" i="31" s="1"/>
  <c r="N33" i="30"/>
  <c r="O33" i="30" s="1"/>
  <c r="T109" i="31"/>
  <c r="B53" i="32" l="1"/>
  <c r="K53" i="32" s="1"/>
  <c r="O53" i="32" s="1"/>
  <c r="AA292" i="31"/>
  <c r="D73" i="29" s="1"/>
  <c r="B12" i="49" s="1"/>
  <c r="C4" i="37" a="1"/>
  <c r="C4" i="37" s="1"/>
  <c r="C40" i="37" a="1"/>
  <c r="C40" i="37" s="1"/>
  <c r="C8" i="37" a="1"/>
  <c r="C8" i="37" s="1"/>
  <c r="C43" i="37" a="1"/>
  <c r="C43" i="37" s="1"/>
  <c r="C58" i="37" a="1"/>
  <c r="C58" i="37" s="1"/>
  <c r="C19" i="37" a="1"/>
  <c r="C19" i="37" s="1"/>
  <c r="C36" i="37" a="1"/>
  <c r="C36" i="37" s="1"/>
  <c r="C24" i="37" a="1"/>
  <c r="C24" i="37" s="1"/>
  <c r="C47" i="37" a="1"/>
  <c r="C47" i="37" s="1"/>
  <c r="C17" i="37" a="1"/>
  <c r="C17" i="37" s="1"/>
  <c r="C30" i="37" a="1"/>
  <c r="C30" i="37" s="1"/>
  <c r="C10" i="37" a="1"/>
  <c r="C10" i="37" s="1"/>
  <c r="C54" i="37" a="1"/>
  <c r="C54" i="37" s="1"/>
  <c r="C26" i="37" a="1"/>
  <c r="C26" i="37" s="1"/>
  <c r="C55" i="37" a="1"/>
  <c r="C55" i="37" s="1"/>
  <c r="C9" i="37" a="1"/>
  <c r="C9" i="37" s="1"/>
  <c r="C34" i="37" a="1"/>
  <c r="C34" i="37" s="1"/>
  <c r="C51" i="37" a="1"/>
  <c r="C51" i="37" s="1"/>
  <c r="C23" i="37" a="1"/>
  <c r="C23" i="37" s="1"/>
  <c r="C33" i="37" a="1"/>
  <c r="C33" i="37" s="1"/>
  <c r="C66" i="37" a="1"/>
  <c r="C66" i="37" s="1"/>
  <c r="C7" i="37" a="1"/>
  <c r="C7" i="37" s="1"/>
  <c r="C64" i="37" a="1"/>
  <c r="C64" i="37" s="1"/>
  <c r="C35" i="37" a="1"/>
  <c r="C35" i="37" s="1"/>
  <c r="C68" i="37" a="1"/>
  <c r="C68" i="37" s="1"/>
  <c r="C49" i="37" a="1"/>
  <c r="C49" i="37" s="1"/>
  <c r="C37" i="37" a="1"/>
  <c r="C37" i="37" s="1"/>
  <c r="C5" i="37" a="1"/>
  <c r="C5" i="37" s="1"/>
  <c r="C11" i="37" a="1"/>
  <c r="C11" i="37" s="1"/>
  <c r="C18" i="37" a="1"/>
  <c r="C18" i="37" s="1"/>
  <c r="C48" i="37" a="1"/>
  <c r="C48" i="37" s="1"/>
  <c r="C13" i="37" a="1"/>
  <c r="C13" i="37" s="1"/>
  <c r="C38" i="37" a="1"/>
  <c r="C38" i="37" s="1"/>
  <c r="C46" i="37" a="1"/>
  <c r="C46" i="37" s="1"/>
  <c r="C56" i="37" a="1"/>
  <c r="C56" i="37" s="1"/>
  <c r="C50" i="37" a="1"/>
  <c r="C50" i="37" s="1"/>
  <c r="C39" i="37" a="1"/>
  <c r="C39" i="37" s="1"/>
  <c r="C31" i="37" a="1"/>
  <c r="C31" i="37" s="1"/>
  <c r="C65" i="37" a="1"/>
  <c r="C65" i="37" s="1"/>
  <c r="C45" i="37" a="1"/>
  <c r="C45" i="37" s="1"/>
  <c r="C16" i="37" a="1"/>
  <c r="C16" i="37" s="1"/>
  <c r="C53" i="37" a="1"/>
  <c r="C53" i="37" s="1"/>
  <c r="C62" i="37" a="1"/>
  <c r="C62" i="37" s="1"/>
  <c r="C44" i="37" a="1"/>
  <c r="C44" i="37" s="1"/>
  <c r="B47" i="32"/>
  <c r="C12" i="37" a="1"/>
  <c r="C12" i="37" s="1"/>
  <c r="C69" i="37" a="1"/>
  <c r="C69" i="37" s="1"/>
  <c r="C41" i="37" a="1"/>
  <c r="C41" i="37" s="1"/>
  <c r="C67" i="37" a="1"/>
  <c r="C67" i="37" s="1"/>
  <c r="C21" i="37" a="1"/>
  <c r="C21" i="37" s="1"/>
  <c r="C15" i="37" a="1"/>
  <c r="C15" i="37" s="1"/>
  <c r="C42" i="37" a="1"/>
  <c r="C42" i="37" s="1"/>
  <c r="C22" i="37" a="1"/>
  <c r="C22" i="37" s="1"/>
  <c r="C59" i="37" a="1"/>
  <c r="C59" i="37" s="1"/>
  <c r="C6" i="37" a="1"/>
  <c r="C6" i="37" s="1"/>
  <c r="C52" i="37" a="1"/>
  <c r="C52" i="37" s="1"/>
  <c r="C61" i="37" a="1"/>
  <c r="C61" i="37" s="1"/>
  <c r="T292" i="31"/>
  <c r="C28" i="37" a="1"/>
  <c r="C28" i="37" s="1"/>
  <c r="C20" i="37" a="1"/>
  <c r="C20" i="37" s="1"/>
  <c r="C57" i="37" a="1"/>
  <c r="C57" i="37" s="1"/>
  <c r="C63" i="37" a="1"/>
  <c r="C63" i="37" s="1"/>
  <c r="C25" i="37" a="1"/>
  <c r="C25" i="37" s="1"/>
  <c r="C29" i="37" a="1"/>
  <c r="C29" i="37" s="1"/>
  <c r="C3" i="37" a="1"/>
  <c r="C3" i="37" s="1"/>
  <c r="C27" i="37" a="1"/>
  <c r="C27" i="37" s="1"/>
  <c r="D11" i="32"/>
  <c r="C60" i="37" a="1"/>
  <c r="C60" i="37" s="1"/>
  <c r="C32" i="37" a="1"/>
  <c r="C32" i="37" s="1"/>
  <c r="C14" i="37" a="1"/>
  <c r="C14" i="37" s="1"/>
  <c r="AA293" i="31" l="1"/>
  <c r="D114" i="29"/>
  <c r="H114" i="29" s="1"/>
  <c r="L3" i="37" a="1"/>
  <c r="R45" i="37" s="1"/>
  <c r="S45" i="37" s="1"/>
  <c r="AB2" i="37" a="1"/>
  <c r="I47" i="32"/>
  <c r="I53" i="32" s="1"/>
  <c r="B69" i="32"/>
  <c r="K47" i="32"/>
  <c r="D67" i="29"/>
  <c r="T293" i="31"/>
  <c r="D54" i="29"/>
  <c r="E11" i="32"/>
  <c r="B84" i="49"/>
  <c r="R44" i="37" l="1"/>
  <c r="S44" i="37" s="1"/>
  <c r="R43" i="37"/>
  <c r="S43" i="37" s="1"/>
  <c r="AH11" i="37"/>
  <c r="AI11" i="37" s="1"/>
  <c r="B131" i="49" s="1"/>
  <c r="AH5" i="37"/>
  <c r="AI5" i="37" s="1"/>
  <c r="B125" i="49" s="1"/>
  <c r="AH7" i="37"/>
  <c r="AI7" i="37" s="1"/>
  <c r="B127" i="49" s="1"/>
  <c r="AH4" i="37"/>
  <c r="AI4" i="37" s="1"/>
  <c r="B124" i="49" s="1"/>
  <c r="AH13" i="37"/>
  <c r="AI13" i="37" s="1"/>
  <c r="B133" i="49" s="1"/>
  <c r="AH15" i="37"/>
  <c r="AI15" i="37" s="1"/>
  <c r="B135" i="49" s="1"/>
  <c r="AH14" i="37"/>
  <c r="AI14" i="37" s="1"/>
  <c r="B134" i="49" s="1"/>
  <c r="AH10" i="37"/>
  <c r="AI10" i="37" s="1"/>
  <c r="B130" i="49" s="1"/>
  <c r="AH9" i="37"/>
  <c r="AI9" i="37" s="1"/>
  <c r="B129" i="49" s="1"/>
  <c r="AH19" i="37"/>
  <c r="AI19" i="37" s="1"/>
  <c r="B121" i="49" s="1"/>
  <c r="AH16" i="37"/>
  <c r="AI16" i="37" s="1"/>
  <c r="B136" i="49" s="1"/>
  <c r="AH8" i="37"/>
  <c r="AI8" i="37" s="1"/>
  <c r="B128" i="49" s="1"/>
  <c r="AH12" i="37"/>
  <c r="AI12" i="37" s="1"/>
  <c r="B132" i="49" s="1"/>
  <c r="AB2" i="37"/>
  <c r="AH17" i="37"/>
  <c r="AI17" i="37" s="1"/>
  <c r="B137" i="49" s="1"/>
  <c r="AH3" i="37"/>
  <c r="AI3" i="37" s="1"/>
  <c r="B123" i="49" s="1"/>
  <c r="AH2" i="37"/>
  <c r="AI2" i="37" s="1"/>
  <c r="B122" i="49" s="1"/>
  <c r="AH18" i="37"/>
  <c r="AI18" i="37" s="1"/>
  <c r="B138" i="49" s="1"/>
  <c r="AH6" i="37"/>
  <c r="AI6" i="37" s="1"/>
  <c r="B126" i="49" s="1"/>
  <c r="R6" i="37"/>
  <c r="S6" i="37" s="1"/>
  <c r="R8" i="37"/>
  <c r="S8" i="37" s="1"/>
  <c r="R23" i="37"/>
  <c r="S23" i="37" s="1"/>
  <c r="R24" i="37"/>
  <c r="S24" i="37" s="1"/>
  <c r="B70" i="49"/>
  <c r="R29" i="37"/>
  <c r="S29" i="37" s="1"/>
  <c r="B57" i="49"/>
  <c r="R7" i="37"/>
  <c r="S7" i="37" s="1"/>
  <c r="R37" i="37"/>
  <c r="S37" i="37" s="1"/>
  <c r="R32" i="37"/>
  <c r="S32" i="37" s="1"/>
  <c r="R25" i="37"/>
  <c r="S25" i="37" s="1"/>
  <c r="B63" i="49"/>
  <c r="R11" i="37"/>
  <c r="S11" i="37" s="1"/>
  <c r="B65" i="49"/>
  <c r="R19" i="37"/>
  <c r="S19" i="37" s="1"/>
  <c r="R33" i="37"/>
  <c r="S33" i="37" s="1"/>
  <c r="B58" i="49"/>
  <c r="R13" i="37"/>
  <c r="S13" i="37" s="1"/>
  <c r="P2" i="37"/>
  <c r="Q3" i="37" s="1"/>
  <c r="Q4" i="37" s="1"/>
  <c r="Q5" i="37" s="1"/>
  <c r="Q6" i="37" s="1"/>
  <c r="Q7" i="37" s="1"/>
  <c r="Q8" i="37" s="1"/>
  <c r="Q9" i="37" s="1"/>
  <c r="Q10" i="37" s="1"/>
  <c r="Q11" i="37" s="1"/>
  <c r="Q12" i="37" s="1"/>
  <c r="Q13" i="37" s="1"/>
  <c r="Q14" i="37" s="1"/>
  <c r="Q15" i="37" s="1"/>
  <c r="Q16" i="37" s="1"/>
  <c r="Q17" i="37" s="1"/>
  <c r="Q18" i="37" s="1"/>
  <c r="Q19" i="37" s="1"/>
  <c r="Q20" i="37" s="1"/>
  <c r="Q21" i="37" s="1"/>
  <c r="Q22" i="37" s="1"/>
  <c r="Q23" i="37" s="1"/>
  <c r="Q24" i="37" s="1"/>
  <c r="Q25" i="37" s="1"/>
  <c r="Q26" i="37" s="1"/>
  <c r="Q27" i="37" s="1"/>
  <c r="Q28" i="37" s="1"/>
  <c r="Q29" i="37" s="1"/>
  <c r="Q30" i="37" s="1"/>
  <c r="Q31" i="37" s="1"/>
  <c r="Q32" i="37" s="1"/>
  <c r="Q33" i="37" s="1"/>
  <c r="Q34" i="37" s="1"/>
  <c r="Q35" i="37" s="1"/>
  <c r="Q36" i="37" s="1"/>
  <c r="Q37" i="37" s="1"/>
  <c r="Q38" i="37" s="1"/>
  <c r="Q39" i="37" s="1"/>
  <c r="Q40" i="37" s="1"/>
  <c r="Q41" i="37" s="1"/>
  <c r="Q42" i="37" s="1"/>
  <c r="Q43" i="37" s="1"/>
  <c r="Q44" i="37" s="1"/>
  <c r="Q45" i="37" s="1"/>
  <c r="Q46" i="37" s="1"/>
  <c r="Q47" i="37" s="1"/>
  <c r="Q48" i="37" s="1"/>
  <c r="Q49" i="37" s="1"/>
  <c r="Q50" i="37" s="1"/>
  <c r="Q51" i="37" s="1"/>
  <c r="Q52" i="37" s="1"/>
  <c r="Q53" i="37" s="1"/>
  <c r="Q54" i="37" s="1"/>
  <c r="Q55" i="37" s="1"/>
  <c r="Q56" i="37" s="1"/>
  <c r="Q57" i="37" s="1"/>
  <c r="Q58" i="37" s="1"/>
  <c r="Q59" i="37" s="1"/>
  <c r="Q60" i="37" s="1"/>
  <c r="Q61" i="37" s="1"/>
  <c r="Q62" i="37" s="1"/>
  <c r="Q63" i="37" s="1"/>
  <c r="Q64" i="37" s="1"/>
  <c r="Q65" i="37" s="1"/>
  <c r="Q66" i="37" s="1"/>
  <c r="Q67" i="37" s="1"/>
  <c r="Q68" i="37" s="1"/>
  <c r="Q69" i="37" s="1"/>
  <c r="Q70" i="37" s="1"/>
  <c r="Q71" i="37" s="1"/>
  <c r="Q72" i="37" s="1"/>
  <c r="Q73" i="37" s="1"/>
  <c r="Q74" i="37" s="1"/>
  <c r="Q75" i="37" s="1"/>
  <c r="Q76" i="37" s="1"/>
  <c r="Q77" i="37" s="1"/>
  <c r="Q78" i="37" s="1"/>
  <c r="Q79" i="37" s="1"/>
  <c r="Q80" i="37" s="1"/>
  <c r="Q81" i="37" s="1"/>
  <c r="Q82" i="37" s="1"/>
  <c r="Q83" i="37" s="1"/>
  <c r="Q84" i="37" s="1"/>
  <c r="Q85" i="37" s="1"/>
  <c r="Q86" i="37" s="1"/>
  <c r="Q87" i="37" s="1"/>
  <c r="Q88" i="37" s="1"/>
  <c r="Q89" i="37" s="1"/>
  <c r="Q90" i="37" s="1"/>
  <c r="Q91" i="37" s="1"/>
  <c r="Q92" i="37" s="1"/>
  <c r="Q93" i="37" s="1"/>
  <c r="Q94" i="37" s="1"/>
  <c r="Q95" i="37" s="1"/>
  <c r="Q96" i="37" s="1"/>
  <c r="Q97" i="37" s="1"/>
  <c r="Q98" i="37" s="1"/>
  <c r="Q99" i="37" s="1"/>
  <c r="Q100" i="37" s="1"/>
  <c r="Q101" i="37" s="1"/>
  <c r="Q102" i="37" s="1"/>
  <c r="Q103" i="37" s="1"/>
  <c r="Q104" i="37" s="1"/>
  <c r="Q105" i="37" s="1"/>
  <c r="Q106" i="37" s="1"/>
  <c r="Q107" i="37" s="1"/>
  <c r="Q108" i="37" s="1"/>
  <c r="Q109" i="37" s="1"/>
  <c r="Q110" i="37" s="1"/>
  <c r="Q111" i="37" s="1"/>
  <c r="Q112" i="37" s="1"/>
  <c r="Q113" i="37" s="1"/>
  <c r="Q114" i="37" s="1"/>
  <c r="Q115" i="37" s="1"/>
  <c r="Q116" i="37" s="1"/>
  <c r="Q117" i="37" s="1"/>
  <c r="Q118" i="37" s="1"/>
  <c r="Q119" i="37" s="1"/>
  <c r="Q120" i="37" s="1"/>
  <c r="Q121" i="37" s="1"/>
  <c r="Q122" i="37" s="1"/>
  <c r="Q123" i="37" s="1"/>
  <c r="Q124" i="37" s="1"/>
  <c r="Q125" i="37" s="1"/>
  <c r="Q126" i="37" s="1"/>
  <c r="Q127" i="37" s="1"/>
  <c r="Q128" i="37" s="1"/>
  <c r="Q129" i="37" s="1"/>
  <c r="Q130" i="37" s="1"/>
  <c r="Q131" i="37" s="1"/>
  <c r="Q132" i="37" s="1"/>
  <c r="Q133" i="37" s="1"/>
  <c r="Q134" i="37" s="1"/>
  <c r="Q135" i="37" s="1"/>
  <c r="Q136" i="37" s="1"/>
  <c r="Q137" i="37" s="1"/>
  <c r="Q138" i="37" s="1"/>
  <c r="Q139" i="37" s="1"/>
  <c r="Q140" i="37" s="1"/>
  <c r="Q141" i="37" s="1"/>
  <c r="Q142" i="37" s="1"/>
  <c r="Q143" i="37" s="1"/>
  <c r="Q144" i="37" s="1"/>
  <c r="Q145" i="37" s="1"/>
  <c r="Q146" i="37" s="1"/>
  <c r="Q147" i="37" s="1"/>
  <c r="Q148" i="37" s="1"/>
  <c r="Q149" i="37" s="1"/>
  <c r="Q150" i="37" s="1"/>
  <c r="Q151" i="37" s="1"/>
  <c r="Q152" i="37" s="1"/>
  <c r="Q153" i="37" s="1"/>
  <c r="Q154" i="37" s="1"/>
  <c r="Q155" i="37" s="1"/>
  <c r="Q156" i="37" s="1"/>
  <c r="Q157" i="37" s="1"/>
  <c r="Q158" i="37" s="1"/>
  <c r="Q159" i="37" s="1"/>
  <c r="Q160" i="37" s="1"/>
  <c r="Q161" i="37" s="1"/>
  <c r="Q162" i="37" s="1"/>
  <c r="Q163" i="37" s="1"/>
  <c r="Q164" i="37" s="1"/>
  <c r="Q165" i="37" s="1"/>
  <c r="Q166" i="37" s="1"/>
  <c r="Q167" i="37" s="1"/>
  <c r="Q168" i="37" s="1"/>
  <c r="Q169" i="37" s="1"/>
  <c r="Q170" i="37" s="1"/>
  <c r="Q171" i="37" s="1"/>
  <c r="Q172" i="37" s="1"/>
  <c r="Q173" i="37" s="1"/>
  <c r="Q174" i="37" s="1"/>
  <c r="Q175" i="37" s="1"/>
  <c r="Q176" i="37" s="1"/>
  <c r="Q177" i="37" s="1"/>
  <c r="Q178" i="37" s="1"/>
  <c r="Q179" i="37" s="1"/>
  <c r="Q180" i="37" s="1"/>
  <c r="Q181" i="37" s="1"/>
  <c r="Q182" i="37" s="1"/>
  <c r="Q183" i="37" s="1"/>
  <c r="Q184" i="37" s="1"/>
  <c r="Q185" i="37" s="1"/>
  <c r="Q186" i="37" s="1"/>
  <c r="Q187" i="37" s="1"/>
  <c r="Q188" i="37" s="1"/>
  <c r="Q189" i="37" s="1"/>
  <c r="Q190" i="37" s="1"/>
  <c r="Q191" i="37" s="1"/>
  <c r="Q192" i="37" s="1"/>
  <c r="Q193" i="37" s="1"/>
  <c r="Q194" i="37" s="1"/>
  <c r="Q195" i="37" s="1"/>
  <c r="Q196" i="37" s="1"/>
  <c r="Q197" i="37" s="1"/>
  <c r="Q198" i="37" s="1"/>
  <c r="Q199" i="37" s="1"/>
  <c r="Q200" i="37" s="1"/>
  <c r="Q201" i="37" s="1"/>
  <c r="Q202" i="37" s="1"/>
  <c r="Q203" i="37" s="1"/>
  <c r="Q204" i="37" s="1"/>
  <c r="Q205" i="37" s="1"/>
  <c r="Q206" i="37" s="1"/>
  <c r="Q207" i="37" s="1"/>
  <c r="Q208" i="37" s="1"/>
  <c r="Q209" i="37" s="1"/>
  <c r="Q210" i="37" s="1"/>
  <c r="Q211" i="37" s="1"/>
  <c r="Q212" i="37" s="1"/>
  <c r="Q213" i="37" s="1"/>
  <c r="Q214" i="37" s="1"/>
  <c r="Q215" i="37" s="1"/>
  <c r="Q216" i="37" s="1"/>
  <c r="Q217" i="37" s="1"/>
  <c r="Q218" i="37" s="1"/>
  <c r="Q219" i="37" s="1"/>
  <c r="Q220" i="37" s="1"/>
  <c r="Q221" i="37" s="1"/>
  <c r="Q222" i="37" s="1"/>
  <c r="Q223" i="37" s="1"/>
  <c r="R38" i="37"/>
  <c r="S38" i="37" s="1"/>
  <c r="B54" i="49"/>
  <c r="B64" i="49"/>
  <c r="B67" i="49"/>
  <c r="B61" i="49"/>
  <c r="B51" i="49"/>
  <c r="R16" i="37"/>
  <c r="S16" i="37" s="1"/>
  <c r="R22" i="37"/>
  <c r="S22" i="37" s="1"/>
  <c r="R18" i="37"/>
  <c r="S18" i="37" s="1"/>
  <c r="R31" i="37"/>
  <c r="S31" i="37" s="1"/>
  <c r="R3" i="37"/>
  <c r="S3" i="37" s="1"/>
  <c r="R5" i="37"/>
  <c r="S5" i="37" s="1"/>
  <c r="B62" i="49"/>
  <c r="R17" i="37"/>
  <c r="S17" i="37" s="1"/>
  <c r="R20" i="37"/>
  <c r="S20" i="37" s="1"/>
  <c r="B55" i="49"/>
  <c r="R42" i="37"/>
  <c r="S42" i="37" s="1"/>
  <c r="R26" i="37"/>
  <c r="S26" i="37" s="1"/>
  <c r="R10" i="37"/>
  <c r="S10" i="37" s="1"/>
  <c r="B66" i="49"/>
  <c r="R39" i="37"/>
  <c r="S39" i="37" s="1"/>
  <c r="R21" i="37"/>
  <c r="S21" i="37" s="1"/>
  <c r="L3" i="37"/>
  <c r="B49" i="49" s="1"/>
  <c r="R40" i="37"/>
  <c r="S40" i="37" s="1"/>
  <c r="R28" i="37"/>
  <c r="S28" i="37" s="1"/>
  <c r="R9" i="37"/>
  <c r="S9" i="37" s="1"/>
  <c r="B53" i="49"/>
  <c r="B69" i="49"/>
  <c r="B68" i="49"/>
  <c r="V2" i="37" a="1"/>
  <c r="V2" i="37" s="1"/>
  <c r="R36" i="37"/>
  <c r="S36" i="37" s="1"/>
  <c r="R35" i="37"/>
  <c r="S35" i="37" s="1"/>
  <c r="R14" i="37"/>
  <c r="S14" i="37" s="1"/>
  <c r="R30" i="37"/>
  <c r="S30" i="37" s="1"/>
  <c r="R27" i="37"/>
  <c r="S27" i="37" s="1"/>
  <c r="R15" i="37"/>
  <c r="S15" i="37" s="1"/>
  <c r="R4" i="37"/>
  <c r="S4" i="37" s="1"/>
  <c r="R41" i="37"/>
  <c r="S41" i="37" s="1"/>
  <c r="B52" i="49"/>
  <c r="B50" i="49"/>
  <c r="R34" i="37"/>
  <c r="S34" i="37" s="1"/>
  <c r="R12" i="37"/>
  <c r="S12" i="37" s="1"/>
  <c r="B56" i="49"/>
  <c r="B28" i="49"/>
  <c r="E32" i="32"/>
  <c r="D56" i="29"/>
  <c r="B7" i="49"/>
  <c r="D69" i="29"/>
  <c r="D68" i="29"/>
  <c r="O47" i="32"/>
  <c r="S38" i="32" s="1" a="1"/>
  <c r="U2" i="37" l="1" a="1"/>
  <c r="U2" i="37" s="1"/>
  <c r="T59" i="32"/>
  <c r="Z38" i="32" s="1"/>
  <c r="Z39" i="32" s="1"/>
  <c r="Z40" i="32" s="1"/>
  <c r="Z41" i="32" s="1"/>
  <c r="Z42" i="32" s="1"/>
  <c r="Z43" i="32" s="1"/>
  <c r="Z44" i="32" s="1"/>
  <c r="Z45" i="32" s="1"/>
  <c r="Z46" i="32" s="1"/>
  <c r="Z47" i="32" s="1"/>
  <c r="Z48" i="32" s="1"/>
  <c r="Z49" i="32" s="1"/>
  <c r="Z50" i="32" s="1"/>
  <c r="Z51" i="32" s="1"/>
  <c r="Z52" i="32" s="1"/>
  <c r="Z53" i="32" s="1"/>
  <c r="Z54" i="32" s="1"/>
  <c r="Z55" i="32" s="1"/>
  <c r="Z56" i="32" s="1"/>
  <c r="Z57" i="32" s="1"/>
  <c r="Z58" i="32" s="1"/>
  <c r="S38" i="32"/>
  <c r="X2" i="37" a="1"/>
  <c r="X2" i="37" s="1"/>
  <c r="B71" i="49"/>
  <c r="B9" i="49"/>
  <c r="D59" i="29"/>
  <c r="W2" i="37" a="1"/>
  <c r="W2"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Priore Yasmine</author>
    <author>Sandro</author>
    <author>Schulthess Lucile</author>
  </authors>
  <commentList>
    <comment ref="F12" authorId="0" shapeId="0" xr:uid="{70D75A97-22F0-47B8-A840-9D4960DB01DA}">
      <text>
        <r>
          <rPr>
            <sz val="9"/>
            <color indexed="81"/>
            <rFont val="Tahoma"/>
            <family val="2"/>
          </rPr>
          <t>Logements par étage selon les métrés renseignés</t>
        </r>
      </text>
    </comment>
    <comment ref="F13" authorId="0" shapeId="0" xr:uid="{F13D2B2D-7422-46C4-BB08-7837D5A4E3E1}">
      <text>
        <r>
          <rPr>
            <sz val="9"/>
            <color indexed="81"/>
            <rFont val="Tahoma"/>
            <family val="2"/>
          </rPr>
          <t xml:space="preserve">Nombre de logements du bâtiment 
selon les statistique 2016-2021 de l'OFS ( surface moyenne logements époque 2016-2021 = 102,4)
</t>
        </r>
      </text>
    </comment>
    <comment ref="L13" authorId="0" shapeId="0" xr:uid="{F3FCE4E3-02FF-4262-A718-194B183A859C}">
      <text>
        <r>
          <rPr>
            <sz val="9"/>
            <color indexed="81"/>
            <rFont val="Tahoma"/>
            <family val="2"/>
          </rPr>
          <t>Minimum de puissance installée selon exigence</t>
        </r>
      </text>
    </comment>
    <comment ref="F14" authorId="0" shapeId="0" xr:uid="{2FF31372-B0F9-4F87-A682-214AB843E52D}">
      <text>
        <r>
          <rPr>
            <sz val="9"/>
            <color indexed="81"/>
            <rFont val="Tahoma"/>
            <family val="2"/>
          </rPr>
          <t>Valeur la plus basse possible pour cette volumétrie</t>
        </r>
      </text>
    </comment>
    <comment ref="L14" authorId="0" shapeId="0" xr:uid="{680EF57E-D661-437B-A2CD-F4A271319181}">
      <text>
        <r>
          <rPr>
            <b/>
            <sz val="9"/>
            <color indexed="81"/>
            <rFont val="Tahoma"/>
            <family val="2"/>
          </rPr>
          <t>Priore Yasmine:</t>
        </r>
        <r>
          <rPr>
            <sz val="9"/>
            <color indexed="81"/>
            <rFont val="Tahoma"/>
            <family val="2"/>
          </rPr>
          <t xml:space="preserve">
0.5m par m2 de SRE</t>
        </r>
      </text>
    </comment>
    <comment ref="F16" authorId="0" shapeId="0" xr:uid="{5CB507DA-176F-447A-A170-8959B33ACE69}">
      <text>
        <r>
          <rPr>
            <sz val="9"/>
            <color indexed="81"/>
            <rFont val="Tahoma"/>
            <family val="2"/>
          </rPr>
          <t xml:space="preserve">Emprise au sol du bâtiment
</t>
        </r>
      </text>
    </comment>
    <comment ref="F17" authorId="0" shapeId="0" xr:uid="{B2C32E95-F86C-493F-AFC5-FA8EDD36B129}">
      <text>
        <r>
          <rPr>
            <sz val="9"/>
            <color indexed="81"/>
            <rFont val="Tahoma"/>
            <family val="2"/>
          </rPr>
          <t>Nombre de place de stationnement souteraines en prévoyant 28m2 de parking par logement</t>
        </r>
      </text>
    </comment>
    <comment ref="L17" authorId="0" shapeId="0" xr:uid="{FE98C415-ADF7-47FC-B214-AE90DD6A758D}">
      <text>
        <r>
          <rPr>
            <sz val="9"/>
            <color indexed="81"/>
            <rFont val="Tahoma"/>
            <family val="2"/>
          </rPr>
          <t xml:space="preserve">
Surface maximale en prenant un recouvrement standard de 80% de la surface de toiture
</t>
        </r>
      </text>
    </comment>
    <comment ref="F18" authorId="1" shapeId="0" xr:uid="{AD96FA41-1241-4715-B6F4-F513D28DF129}">
      <text>
        <r>
          <rPr>
            <b/>
            <sz val="9"/>
            <color indexed="81"/>
            <rFont val="Tahoma"/>
            <family val="2"/>
          </rPr>
          <t>nombre de place de stationnement total (sous-sol et extérieur) selon la norme VSS40281</t>
        </r>
      </text>
    </comment>
    <comment ref="J18" authorId="2" shapeId="0" xr:uid="{ECD69C40-435A-4D0B-AFCE-3B6FC7C6A5D6}">
      <text>
        <r>
          <rPr>
            <b/>
            <sz val="9"/>
            <color indexed="81"/>
            <rFont val="Tahoma"/>
            <family val="2"/>
          </rPr>
          <t>Installation photovolotaique moyenne (1m2 = 0.14kWp)</t>
        </r>
      </text>
    </comment>
    <comment ref="L18" authorId="1" shapeId="0" xr:uid="{5EB0640F-1620-4960-91FA-1BA1C7CCFBBA}">
      <text>
        <r>
          <rPr>
            <sz val="9"/>
            <color indexed="81"/>
            <rFont val="Tahoma"/>
            <family val="2"/>
          </rPr>
          <t>Surface minimale de PV à installer</t>
        </r>
      </text>
    </comment>
    <comment ref="L20" authorId="2" shapeId="0" xr:uid="{2DB77670-BBA7-47AF-A5A3-E3A07BEF1D41}">
      <text>
        <r>
          <rPr>
            <b/>
            <sz val="9"/>
            <color indexed="81"/>
            <rFont val="Tahoma"/>
            <family val="2"/>
          </rPr>
          <t>Valeur maximale pour éviter la surchauffe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Schulthess Lucile</author>
  </authors>
  <commentList>
    <comment ref="L39" authorId="0" shapeId="0" xr:uid="{57F64893-C4A3-4F60-BFE4-7891085AC365}">
      <text>
        <r>
          <rPr>
            <sz val="9"/>
            <color indexed="81"/>
            <rFont val="Tahoma"/>
            <family val="2"/>
          </rPr>
          <t>Les escaliers sont comptés avec la dalle</t>
        </r>
      </text>
    </comment>
    <comment ref="L43" authorId="0" shapeId="0" xr:uid="{7CE0CC42-C0DD-409E-9206-71996183E5C0}">
      <text>
        <r>
          <rPr>
            <b/>
            <sz val="9"/>
            <color indexed="81"/>
            <rFont val="Tahoma"/>
            <family val="2"/>
          </rPr>
          <t>Schulthess Lucile:</t>
        </r>
        <r>
          <rPr>
            <sz val="9"/>
            <color indexed="81"/>
            <rFont val="Tahoma"/>
            <family val="2"/>
          </rPr>
          <t xml:space="preserve">
Compris dans les parois intérieures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Sandro</author>
  </authors>
  <commentList>
    <comment ref="E47" authorId="0" shapeId="0" xr:uid="{C7C2271D-8877-42EE-9A55-17475231A83B}">
      <text>
        <r>
          <rPr>
            <sz val="9"/>
            <color indexed="81"/>
            <rFont val="Tahoma"/>
            <family val="2"/>
          </rPr>
          <t>Pour Minergie-A : l'autoproduction annuelle couvre les besoins énergétiques annuels</t>
        </r>
      </text>
    </comment>
    <comment ref="E99" authorId="0" shapeId="0" xr:uid="{FDF498D1-6E37-47B8-9350-A52CA3615755}">
      <text>
        <r>
          <rPr>
            <b/>
            <sz val="9"/>
            <color indexed="81"/>
            <rFont val="Tahoma"/>
            <family val="2"/>
          </rPr>
          <t>Formule dans la SIA 380/1:2016</t>
        </r>
      </text>
    </comment>
    <comment ref="F99" authorId="0" shapeId="0" xr:uid="{714B13A3-584D-4900-97D1-574C0D45AD42}">
      <text>
        <r>
          <rPr>
            <b/>
            <sz val="9"/>
            <color indexed="81"/>
            <rFont val="Tahoma"/>
            <family val="2"/>
          </rPr>
          <t>Valeur cible de la SIA 380/1:2016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Sandro</author>
  </authors>
  <commentList>
    <comment ref="D41" authorId="0" shapeId="0" xr:uid="{10930E9D-23B7-4736-B395-097283F7D777}">
      <text>
        <r>
          <rPr>
            <b/>
            <sz val="9"/>
            <color indexed="81"/>
            <rFont val="Tahoma"/>
            <family val="2"/>
          </rPr>
          <t>Norme : VSS 40 281</t>
        </r>
      </text>
    </comment>
    <comment ref="E41" authorId="0" shapeId="0" xr:uid="{63041905-CCFB-484F-85F3-18C608AE0EAA}">
      <text>
        <r>
          <rPr>
            <b/>
            <sz val="9"/>
            <color indexed="81"/>
            <rFont val="Tahoma"/>
            <family val="2"/>
          </rPr>
          <t>Norme : VSS 40 281</t>
        </r>
      </text>
    </comment>
    <comment ref="H42" authorId="0" shapeId="0" xr:uid="{C4ED764F-0D81-447B-8BA5-21AAC4658D10}">
      <text>
        <r>
          <rPr>
            <b/>
            <sz val="9"/>
            <color indexed="81"/>
            <rFont val="Tahoma"/>
            <family val="2"/>
          </rPr>
          <t>Norme : VSS 40 291</t>
        </r>
      </text>
    </comment>
    <comment ref="D46" authorId="0" shapeId="0" xr:uid="{FE621E0E-3C37-4517-8B3D-966AFE3F7BE1}">
      <text>
        <r>
          <rPr>
            <b/>
            <sz val="9"/>
            <color indexed="81"/>
            <rFont val="Tahoma"/>
            <family val="2"/>
          </rPr>
          <t>Norme : VSS 40 291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tc={BBADFA35-A070-4766-B3A6-8125128EFADB}</author>
  </authors>
  <commentList>
    <comment ref="M1" authorId="0" shapeId="0" xr:uid="{BBADFA35-A070-4766-B3A6-8125128EFADB}">
      <text>
        <r>
          <rPr>
            <sz val="12"/>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/m2?</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Priore Yasmine</author>
  </authors>
  <commentList>
    <comment ref="A4" authorId="0" shapeId="0" xr:uid="{F83051C7-15CB-48C5-AA76-DCCA06D3A963}">
      <text>
        <r>
          <rPr>
            <b/>
            <sz val="9"/>
            <color indexed="81"/>
            <rFont val="Tahoma"/>
            <family val="2"/>
          </rPr>
          <t>Priore Yasmine:</t>
        </r>
        <r>
          <rPr>
            <sz val="9"/>
            <color indexed="81"/>
            <rFont val="Tahoma"/>
            <family val="2"/>
          </rPr>
          <t xml:space="preserve">
smaller multi family houses - max spannweite 7m/8m</t>
        </r>
      </text>
    </comment>
    <comment ref="A7" authorId="0" shapeId="0" xr:uid="{6F66E568-ADA0-4E38-B058-97B002C77CC3}">
      <text>
        <r>
          <rPr>
            <b/>
            <sz val="9"/>
            <color indexed="81"/>
            <rFont val="Tahoma"/>
            <family val="2"/>
          </rPr>
          <t>Priore Yasmine:</t>
        </r>
        <r>
          <rPr>
            <sz val="9"/>
            <color indexed="81"/>
            <rFont val="Tahoma"/>
            <family val="2"/>
          </rPr>
          <t xml:space="preserve">
smaller multi family houses - max spannweite 7m/8m</t>
        </r>
      </text>
    </comment>
    <comment ref="C12" authorId="0" shapeId="0" xr:uid="{B35A0457-DFDA-4AE7-B1AA-15987304D1B1}">
      <text>
        <r>
          <rPr>
            <b/>
            <sz val="9"/>
            <color indexed="81"/>
            <rFont val="Tahoma"/>
            <family val="2"/>
          </rPr>
          <t>Priore Yasmine:</t>
        </r>
        <r>
          <rPr>
            <sz val="9"/>
            <color indexed="81"/>
            <rFont val="Tahoma"/>
            <family val="2"/>
          </rPr>
          <t xml:space="preserve">
16.7 Stk/m2
9 kg/Stk</t>
        </r>
      </text>
    </comment>
    <comment ref="C13" authorId="0" shapeId="0" xr:uid="{32ADD48C-6A96-4111-9C3E-015FB2830489}">
      <text>
        <r>
          <rPr>
            <b/>
            <sz val="9"/>
            <color indexed="81"/>
            <rFont val="Tahoma"/>
            <family val="2"/>
          </rPr>
          <t>Priore Yasmine:</t>
        </r>
        <r>
          <rPr>
            <sz val="9"/>
            <color indexed="81"/>
            <rFont val="Tahoma"/>
            <family val="2"/>
          </rPr>
          <t xml:space="preserve">
Mörtelbedarf: 32L/m2
1.6kg/L</t>
        </r>
      </text>
    </comment>
    <comment ref="C16" authorId="0" shapeId="0" xr:uid="{CDE991C1-A57D-4ED7-B3F5-8B80868580F2}">
      <text>
        <r>
          <rPr>
            <b/>
            <sz val="9"/>
            <color indexed="81"/>
            <rFont val="Tahoma"/>
            <family val="2"/>
          </rPr>
          <t>Priore Yasmine:</t>
        </r>
        <r>
          <rPr>
            <sz val="9"/>
            <color indexed="81"/>
            <rFont val="Tahoma"/>
            <family val="2"/>
          </rPr>
          <t xml:space="preserve">
16.7 Stk/m2
9 kg/Stk</t>
        </r>
      </text>
    </comment>
    <comment ref="C17" authorId="0" shapeId="0" xr:uid="{B3421FAC-9BF6-4A05-9984-8FAF6EFE1BBC}">
      <text>
        <r>
          <rPr>
            <b/>
            <sz val="9"/>
            <color indexed="81"/>
            <rFont val="Tahoma"/>
            <family val="2"/>
          </rPr>
          <t>Priore Yasmine:</t>
        </r>
        <r>
          <rPr>
            <sz val="9"/>
            <color indexed="81"/>
            <rFont val="Tahoma"/>
            <family val="2"/>
          </rPr>
          <t xml:space="preserve">
Mörtelbedarf: 32L/m2
1.6kg/L</t>
        </r>
      </text>
    </comment>
    <comment ref="A217" authorId="0" shapeId="0" xr:uid="{468EADC9-0714-4E0A-8E8C-AF30B5B08C77}">
      <text>
        <r>
          <rPr>
            <b/>
            <sz val="9"/>
            <color indexed="81"/>
            <rFont val="Tahoma"/>
            <family val="2"/>
          </rPr>
          <t>Priore Yasmine:</t>
        </r>
        <r>
          <rPr>
            <sz val="9"/>
            <color indexed="81"/>
            <rFont val="Tahoma"/>
            <family val="2"/>
          </rPr>
          <t xml:space="preserve">
every 6m columns with bricks in the middle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Matthias Klingler</author>
  </authors>
  <commentList>
    <comment ref="B101" authorId="0" shapeId="0" xr:uid="{7321F552-1E57-4268-B124-8CBE98FDBCEC}">
      <text>
        <r>
          <rPr>
            <b/>
            <sz val="10"/>
            <color rgb="FF000000"/>
            <rFont val="Tahoma"/>
            <family val="2"/>
          </rPr>
          <t>Matthias Klingler:</t>
        </r>
        <r>
          <rPr>
            <sz val="10"/>
            <color rgb="FF000000"/>
            <rFont val="Tahoma"/>
            <family val="2"/>
          </rPr>
          <t xml:space="preserve">
</t>
        </r>
        <r>
          <rPr>
            <sz val="10"/>
            <color rgb="FF000000"/>
            <rFont val="Tahoma"/>
            <family val="2"/>
          </rPr>
          <t xml:space="preserve">Ist bei Wärmeverteilung Bodenheizung Zusatzaufwand für Wärmedämmung und Zementunterlagsboden berücksichtigt? </t>
        </r>
        <r>
          <rPr>
            <b/>
            <sz val="10"/>
            <color rgb="FF000000"/>
            <rFont val="Tahoma"/>
            <family val="2"/>
          </rPr>
          <t>Nein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<sst xmlns="http://schemas.openxmlformats.org/spreadsheetml/2006/main" count="8667" uniqueCount="4483">
  <si>
    <t>SimpliBat</t>
  </si>
  <si>
    <t>Grâce à des hypothèses sur les éléments de construction, il permet un calcul rapide avec quelques métrés connus dès l'avant-projet</t>
  </si>
  <si>
    <t>Attention, les impacts carbone des éléments sont calculés avec les valeurs actuelles et sont appelés à évoluer</t>
  </si>
  <si>
    <t>L'outil n'inclut pas de calcul dynamique du bilan carbone</t>
  </si>
  <si>
    <t xml:space="preserve">Cet outil sert essentiellement à un calcul rapide dans une phase préliminaire d'un projet de construction </t>
  </si>
  <si>
    <t xml:space="preserve">L'outil a été créé dans le cadre d'un projet de recherche pour le plan climat de Fribourg </t>
  </si>
  <si>
    <t>Le site de Bluefactory a été pris comme cas d'étude en partenariat avec l'entreprise BFF SA</t>
  </si>
  <si>
    <t>Cet outil est placé sous licence CC BY-ND 4.0. Pour consulter une copie de cette licence, visitez le site http://creativecommons.org/licenses/by-nd/4.0/</t>
  </si>
  <si>
    <t>L'utilisateur est responsable de la validité des données et des résultats produits</t>
  </si>
  <si>
    <t>Les auteurs déclinent toute responsabilité quant à l'utilisation de l'outil et n'assument aucune responsabilité à l'égard des conséquences découlant des résultats obtenus</t>
  </si>
  <si>
    <t>Auteur: Institut ENERGY, HEIA-Fr - Yasmine Priore, Lucile Schulthess, Thomas Jusselme</t>
  </si>
  <si>
    <t>Contact:</t>
  </si>
  <si>
    <t>thomas.jusselme@hefr.ch</t>
  </si>
  <si>
    <t>Général</t>
  </si>
  <si>
    <t>Outil Simplifié</t>
  </si>
  <si>
    <t>Les cases en blanc dans la section données d'entrée permettent le dimensionnement rapide d'un bâtiment</t>
  </si>
  <si>
    <t>Les cases en vert sont des valeurs par défaut (légérement grisée). Elles peuvent être changées. Pour revenir aux valeurs par défaut, il suffit de supprimer la valeur ajoutée</t>
  </si>
  <si>
    <t>Valeur par défaut modifiable</t>
  </si>
  <si>
    <t xml:space="preserve">En cliquant sur le + (et donc en affichant toutes les colonnes) des aides au dimensionnement apparaissent. </t>
  </si>
  <si>
    <t>Indication pour dimensionnement</t>
  </si>
  <si>
    <t>Outil détaillé</t>
  </si>
  <si>
    <t>Décompostion</t>
  </si>
  <si>
    <t>L'onglet "Décomposition" permet de voir le détail des matériaux pour chaque composition</t>
  </si>
  <si>
    <t>A l'aide de la colonne O dans la feuille "Outil détaillé", il est possible de retrouver la ligne correspondante.</t>
  </si>
  <si>
    <t>Pour voir la liste des compositions proposées, il faut ouvrir les onglets des propositions de compositions. La colonne B de l'onglet "Décomposition" indique quel est l'onglet correspondant</t>
  </si>
  <si>
    <t>Pour imprimer</t>
  </si>
  <si>
    <t>Des zones d'impressions ont été définies pour imprimer le projet</t>
  </si>
  <si>
    <t>Pour imprimer l'onglet souhaité, il suffit d'aller dans l'onglet, puis d'imprimer (Ctrl + P) avec les paramètres: "Imprimer les feuilles actives; Orientation portrait; Ajuster toutes les colonnes à une page</t>
  </si>
  <si>
    <t>Autre onglets</t>
  </si>
  <si>
    <t>D'autre onglets servent au calcul carbone des éléments comme:</t>
  </si>
  <si>
    <t>Onglets relatifs au KBOB</t>
  </si>
  <si>
    <t>Baumaterialien Matériaux</t>
  </si>
  <si>
    <t>Transporte Transports</t>
  </si>
  <si>
    <t>Gebäudetechnik Technique</t>
  </si>
  <si>
    <t>Entsorgung Déchets</t>
  </si>
  <si>
    <t>Energie Énergie</t>
  </si>
  <si>
    <t>Onglets avec des propositions de compositions</t>
  </si>
  <si>
    <t>Décomposition</t>
  </si>
  <si>
    <t>Travaux préparatoires</t>
  </si>
  <si>
    <t>Enveloppe du bâtiment sout.</t>
  </si>
  <si>
    <t>Installations</t>
  </si>
  <si>
    <t>Enveloppe du bâtiment hors terr</t>
  </si>
  <si>
    <t>Eléments de constr. inté. et ex</t>
  </si>
  <si>
    <t>Onglets d'aide au calcul</t>
  </si>
  <si>
    <t>Hypothèses</t>
  </si>
  <si>
    <t>List of materials</t>
  </si>
  <si>
    <t>Exploitation</t>
  </si>
  <si>
    <t>Graphe Background</t>
  </si>
  <si>
    <t>Cibles</t>
  </si>
  <si>
    <t>Pour aller plus loin:</t>
  </si>
  <si>
    <t>Le but de cet outil est aussi de pouvoir l'augmenter avec ses propres compositions</t>
  </si>
  <si>
    <t>Pour créer une nouvelle composition, il faut aller dans le bon onglet (Enveloppe du bâtiment sout. ; Enveloppe du bâtiment hors terr ; Eléments de constr. inté. et ex ; Travaux préparatoires ;Installations)</t>
  </si>
  <si>
    <t>Pour rajouter une composition, il suffit de rajouter des lignes dans l'onglet correspondant dans le groupe correspondant. Et mettre le nom de cette nouvelle composition sur la première ligne</t>
  </si>
  <si>
    <t>Pour être sûr.e, vérifier si l’onglet Liste est mis à jour</t>
  </si>
  <si>
    <t xml:space="preserve">Pour l'intégrer dans le bâtiment, la nouvelle composition doit être choisie dans l'onglet "Outil détaillé" colonne G </t>
  </si>
  <si>
    <t>Si la composition est longue, il faut vérifier que toutes les lignes sont prises en compte dans l'onglet "Décomposition"</t>
  </si>
  <si>
    <t>Rajouter une ligne de description dans Décompostion</t>
  </si>
  <si>
    <t>Ajouter le nombre de ligne voulue (le plus simple est de rajouter le même nombre qu’un exemple) en cliquant ajouter une ligne sur la prochaine ligne colorée</t>
  </si>
  <si>
    <t>Copier coller un autre exemple</t>
  </si>
  <si>
    <t>Mettre la bonne référence nom en colonne E</t>
  </si>
  <si>
    <t>Vérifier les références en colonne F</t>
  </si>
  <si>
    <r>
      <t>-</t>
    </r>
    <r>
      <rPr>
        <sz val="7"/>
        <color theme="1"/>
        <rFont val="Times New Roman"/>
        <family val="1"/>
      </rPr>
      <t xml:space="preserve">          </t>
    </r>
    <r>
      <rPr>
        <sz val="11"/>
        <color theme="1"/>
        <rFont val="Calibri"/>
        <family val="2"/>
        <scheme val="minor"/>
      </rPr>
      <t>Doit faire référence à la bonne cellule pour le nom</t>
    </r>
  </si>
  <si>
    <r>
      <t>-</t>
    </r>
    <r>
      <rPr>
        <sz val="7"/>
        <color theme="1"/>
        <rFont val="Times New Roman"/>
        <family val="1"/>
      </rPr>
      <t xml:space="preserve">          </t>
    </r>
    <r>
      <rPr>
        <sz val="11"/>
        <color theme="1"/>
        <rFont val="Calibri"/>
        <family val="2"/>
        <scheme val="minor"/>
      </rPr>
      <t>Doit faire référence à la bonne catégorie (la ligne gris foncée) en colonne F</t>
    </r>
  </si>
  <si>
    <r>
      <t>o</t>
    </r>
    <r>
      <rPr>
        <sz val="7"/>
        <color theme="1"/>
        <rFont val="Times New Roman"/>
        <family val="1"/>
      </rPr>
      <t xml:space="preserve">   </t>
    </r>
    <r>
      <rPr>
        <sz val="11"/>
        <color theme="1"/>
        <rFont val="Calibri"/>
        <family val="2"/>
        <scheme val="minor"/>
      </rPr>
      <t>=EQUIV(</t>
    </r>
    <r>
      <rPr>
        <sz val="11"/>
        <color rgb="FFFF0000"/>
        <rFont val="Calibri"/>
        <family val="2"/>
        <scheme val="minor"/>
      </rPr>
      <t>REF_NOM</t>
    </r>
    <r>
      <rPr>
        <sz val="11"/>
        <color theme="1"/>
        <rFont val="Calibri"/>
        <family val="2"/>
        <scheme val="minor"/>
      </rPr>
      <t>;INDIRECT("'Enveloppe du bâtiment hors terr'!A"&amp;</t>
    </r>
    <r>
      <rPr>
        <sz val="11"/>
        <color rgb="FFFF0000"/>
        <rFont val="Calibri"/>
        <family val="2"/>
        <scheme val="minor"/>
      </rPr>
      <t>REF_CATEGORIE</t>
    </r>
    <r>
      <rPr>
        <sz val="11"/>
        <color theme="1"/>
        <rFont val="Calibri"/>
        <family val="2"/>
        <scheme val="minor"/>
      </rPr>
      <t>+1&amp;":A500");0)+</t>
    </r>
    <r>
      <rPr>
        <sz val="11"/>
        <color rgb="FFFF0000"/>
        <rFont val="Calibri"/>
        <family val="2"/>
        <scheme val="minor"/>
      </rPr>
      <t xml:space="preserve"> REF_CATEGORIE</t>
    </r>
  </si>
  <si>
    <r>
      <t>-</t>
    </r>
    <r>
      <rPr>
        <sz val="7"/>
        <color theme="1"/>
        <rFont val="Times New Roman"/>
        <family val="1"/>
      </rPr>
      <t xml:space="preserve">          </t>
    </r>
    <r>
      <rPr>
        <sz val="11"/>
        <color theme="1"/>
        <rFont val="Calibri"/>
        <family val="2"/>
        <scheme val="minor"/>
      </rPr>
      <t>Doit faire référence à la bonne feuille (ex. : 'Enveloppe du bâtiment hors terr)</t>
    </r>
  </si>
  <si>
    <t>Mettre la bonne référence de surface en colonne K</t>
  </si>
  <si>
    <t>Et corriger la référence de surface pour toutes les lignes</t>
  </si>
  <si>
    <t>Vérifier que la somme carbone est correcte en colonne N à T</t>
  </si>
  <si>
    <t>Ajouter au bilan carbone de la catégorie la nouvelle composition</t>
  </si>
  <si>
    <t>Si on veut se passer de la reconnaissance de ligne, il faut préciser le ligne de la composition dans la ligne grise en colonne F dans décomposition</t>
  </si>
  <si>
    <t>Dans décomposition-&gt; en gris foncé, catégorie ; en gris clair : composition</t>
  </si>
  <si>
    <t>Somme des compositions qui somme les matériaux</t>
  </si>
  <si>
    <t>Nom du projet:</t>
  </si>
  <si>
    <t>Date de la simulation:</t>
  </si>
  <si>
    <t>Données entrées</t>
  </si>
  <si>
    <t>Caractéristiques et volumétrie</t>
  </si>
  <si>
    <t>Infos pour aider au dimensionnement</t>
  </si>
  <si>
    <t>Système énergétique</t>
  </si>
  <si>
    <t>Catégorie d'ouvrage</t>
  </si>
  <si>
    <t>Bureaux</t>
  </si>
  <si>
    <t>Systeme chauffage</t>
  </si>
  <si>
    <t>Pompe à chaleur (géothermique)</t>
  </si>
  <si>
    <t>Type de travaux</t>
  </si>
  <si>
    <t>Neuf</t>
  </si>
  <si>
    <t>Année ciblée - livraison</t>
  </si>
  <si>
    <t>Granules (pellets)</t>
  </si>
  <si>
    <t>Surface de référence énergétique</t>
  </si>
  <si>
    <t>m2</t>
  </si>
  <si>
    <t>https://rechner.umweltchemie.ch/HTMLFernwaerme22_de_v4/Oekobilanzrechner_Fernwaerme_2022_deutsch_v4_UVEK2022.htm</t>
  </si>
  <si>
    <t>Surface PV</t>
  </si>
  <si>
    <t>Facteur d'enveloppe (Ath/Ae)</t>
  </si>
  <si>
    <t>/</t>
  </si>
  <si>
    <t>Puissance PV installée</t>
  </si>
  <si>
    <t>kWp</t>
  </si>
  <si>
    <t>WWR</t>
  </si>
  <si>
    <t>Part d'auto-consommation</t>
  </si>
  <si>
    <t>Surface de plancher sous-sol</t>
  </si>
  <si>
    <t>Capteurs solaires</t>
  </si>
  <si>
    <t>Nombre d'étages sous-sol</t>
  </si>
  <si>
    <t>Indice Minergie/Mopec</t>
  </si>
  <si>
    <t>MOPEC</t>
  </si>
  <si>
    <t>Choix constructifs</t>
  </si>
  <si>
    <t>Objectif visé</t>
  </si>
  <si>
    <t>Sous-sol</t>
  </si>
  <si>
    <t>kgCO2éq/m2.an</t>
  </si>
  <si>
    <t>Fouille</t>
  </si>
  <si>
    <t>Talus</t>
  </si>
  <si>
    <t>Fondation</t>
  </si>
  <si>
    <t>Superficielle</t>
  </si>
  <si>
    <t xml:space="preserve">Exigence (constr. + exploitation)  SIA 390 </t>
  </si>
  <si>
    <t>non-isolés</t>
  </si>
  <si>
    <t>Hors-terrain</t>
  </si>
  <si>
    <t>Budget statique équivalent</t>
  </si>
  <si>
    <t xml:space="preserve">Type de structure </t>
  </si>
  <si>
    <t>Valeurs par défaut</t>
  </si>
  <si>
    <t>Bois</t>
  </si>
  <si>
    <t>Façade extérieures</t>
  </si>
  <si>
    <t>Budget "upfront" (fin de chantier)</t>
  </si>
  <si>
    <t>kgCO2éq/m2</t>
  </si>
  <si>
    <t xml:space="preserve">Revêtement extérieur Façade </t>
  </si>
  <si>
    <t>Budget remplacements (20 ans)</t>
  </si>
  <si>
    <t>Isolant Façade</t>
  </si>
  <si>
    <t>Budget remplacements (30 ans)</t>
  </si>
  <si>
    <t>Structure du toit</t>
  </si>
  <si>
    <t>Budget remplacements (40 ans)</t>
  </si>
  <si>
    <t>Couverture du toit</t>
  </si>
  <si>
    <t>Budget fin de vie (60ans)</t>
  </si>
  <si>
    <t>Isolant toit</t>
  </si>
  <si>
    <t>Impact global par m2 sur 60 ans</t>
  </si>
  <si>
    <t>Intérieurs</t>
  </si>
  <si>
    <t>Impact global par m2 par an</t>
  </si>
  <si>
    <t>Parois internes porteuses</t>
  </si>
  <si>
    <t xml:space="preserve">Budget global </t>
  </si>
  <si>
    <t>kgCO2éq</t>
  </si>
  <si>
    <t>Planchers</t>
  </si>
  <si>
    <t>Cibles exploitation par batiment</t>
  </si>
  <si>
    <t>(Valeur moyenne sur 20ans)</t>
  </si>
  <si>
    <t>40ans (après 20ans de service)</t>
  </si>
  <si>
    <t>Moyenne sur 60ans</t>
  </si>
  <si>
    <t>Résultat</t>
  </si>
  <si>
    <t>Détail impact construction</t>
  </si>
  <si>
    <t xml:space="preserve">Impact construction: </t>
  </si>
  <si>
    <t xml:space="preserve">Impact exploitation: </t>
  </si>
  <si>
    <t>Impact construction + exploitation:</t>
  </si>
  <si>
    <t>Impact carbone décomposé par phase</t>
  </si>
  <si>
    <t>Impact "upfront" (fin de chantier)</t>
  </si>
  <si>
    <t>Impact remplacements (20 ans)</t>
  </si>
  <si>
    <t>Impact remplacements (30 ans)</t>
  </si>
  <si>
    <t>Impact remplacements (40 ans)</t>
  </si>
  <si>
    <t>Impact fin de vie (60ans)</t>
  </si>
  <si>
    <t xml:space="preserve">Impact global </t>
  </si>
  <si>
    <t>L'élément constructif le plus intense en terme d'impact:</t>
  </si>
  <si>
    <t>kgCO2éq/m2SRE</t>
  </si>
  <si>
    <t>pour</t>
  </si>
  <si>
    <t>Hypothèses métré simplifié</t>
  </si>
  <si>
    <t>Hauteur des étages</t>
  </si>
  <si>
    <t>Facteur murs internes porteurs</t>
  </si>
  <si>
    <t>*SIA 2032</t>
  </si>
  <si>
    <t>Facteur murs internes non porteurs</t>
  </si>
  <si>
    <t>Facteur balcons</t>
  </si>
  <si>
    <t>Année amortissement du bâtiment</t>
  </si>
  <si>
    <t>Année KBOB</t>
  </si>
  <si>
    <t>Calcul dynamique</t>
  </si>
  <si>
    <t>Année ciblée - Livraison</t>
  </si>
  <si>
    <t>Surface d'un étage</t>
  </si>
  <si>
    <t>SRE/nb</t>
  </si>
  <si>
    <t>Windows</t>
  </si>
  <si>
    <t>Surface sous-sol</t>
  </si>
  <si>
    <t>Unde F</t>
  </si>
  <si>
    <t>Empreinte au sol</t>
  </si>
  <si>
    <t>Surface of facades</t>
  </si>
  <si>
    <t>Enveloppe thermique</t>
  </si>
  <si>
    <t>Ath</t>
  </si>
  <si>
    <t>Mur</t>
  </si>
  <si>
    <t>Parois hors terrain</t>
  </si>
  <si>
    <t>Périmètre</t>
  </si>
  <si>
    <t>Longueur mur</t>
  </si>
  <si>
    <t>x</t>
  </si>
  <si>
    <t>y</t>
  </si>
  <si>
    <t>Surface creusée</t>
  </si>
  <si>
    <t>Blindage</t>
  </si>
  <si>
    <t>Supplément déchet</t>
  </si>
  <si>
    <t>Hauteur sous-sol</t>
  </si>
  <si>
    <t>Distance gravat</t>
  </si>
  <si>
    <t>Type de structure</t>
  </si>
  <si>
    <t>Ascenceur</t>
  </si>
  <si>
    <t>kWh</t>
  </si>
  <si>
    <t>Liste pour outil simplifié</t>
  </si>
  <si>
    <t>Systeme de chauffage</t>
  </si>
  <si>
    <t>Combustible</t>
  </si>
  <si>
    <t>Indice de consommation</t>
  </si>
  <si>
    <t>Objectif</t>
  </si>
  <si>
    <t>Valeur indicative construction - SIA 390</t>
  </si>
  <si>
    <t>Valeur indicative exploitation - SIA 390</t>
  </si>
  <si>
    <t>Rénovation</t>
  </si>
  <si>
    <t>Pompe à chaleur (air-eau)</t>
  </si>
  <si>
    <t>Bûches de bois</t>
  </si>
  <si>
    <t>Minergie</t>
  </si>
  <si>
    <t>Valeur indicative construction - Minergie</t>
  </si>
  <si>
    <t xml:space="preserve"> </t>
  </si>
  <si>
    <t>Chauffage à distance</t>
  </si>
  <si>
    <t>Mazout EL</t>
  </si>
  <si>
    <t>Minergie-P</t>
  </si>
  <si>
    <t>Chaudière</t>
  </si>
  <si>
    <t>Gaz naturel</t>
  </si>
  <si>
    <t>Minergie-A</t>
  </si>
  <si>
    <t>Isolation sous-sol</t>
  </si>
  <si>
    <t>Blindage (Paroi berlinoise)</t>
  </si>
  <si>
    <t>XPS</t>
  </si>
  <si>
    <t>Pieux en béton préfabriqué</t>
  </si>
  <si>
    <t>Verre cellulaire</t>
  </si>
  <si>
    <t>Préchoix pour outil simplifié</t>
  </si>
  <si>
    <t>Façade</t>
  </si>
  <si>
    <t>Revêtement</t>
  </si>
  <si>
    <t>Paroi interne</t>
  </si>
  <si>
    <t>Paroi interne non-porteuse</t>
  </si>
  <si>
    <t>Plancher</t>
  </si>
  <si>
    <t>Toiture</t>
  </si>
  <si>
    <t>Toit structure</t>
  </si>
  <si>
    <t>Toit couverture</t>
  </si>
  <si>
    <t>Isolation façade</t>
  </si>
  <si>
    <t>Isolation Toit</t>
  </si>
  <si>
    <t xml:space="preserve">Béton </t>
  </si>
  <si>
    <t>Liste des composants</t>
  </si>
  <si>
    <t>Travaux préparatoire</t>
  </si>
  <si>
    <t>Enveloppe du bâtiment sous terrain</t>
  </si>
  <si>
    <t>Bodenplatte Fundament / Fondations, radiers</t>
  </si>
  <si>
    <t>Aussenwand unter Terrain / Parois extérieures souterraines</t>
  </si>
  <si>
    <t>Dach unter Terrain / Toitures souterraines</t>
  </si>
  <si>
    <t>Isolant Toit</t>
  </si>
  <si>
    <t>Eléments constr. inté. et ex..</t>
  </si>
  <si>
    <t>Isolants</t>
  </si>
  <si>
    <t>Installation</t>
  </si>
  <si>
    <t>Limite</t>
  </si>
  <si>
    <t>Cible</t>
  </si>
  <si>
    <t>SIA 390 Construction</t>
  </si>
  <si>
    <t>SIA 390 Exploitation</t>
  </si>
  <si>
    <t>PV</t>
  </si>
  <si>
    <t>kgCO2/m2PV.an pour PV</t>
  </si>
  <si>
    <t>Solaire</t>
  </si>
  <si>
    <t>Sondes</t>
  </si>
  <si>
    <t>m2SRE</t>
  </si>
  <si>
    <t>Somme</t>
  </si>
  <si>
    <t>Non-chauffé</t>
  </si>
  <si>
    <t>Minergie ECO Neuf - Limite</t>
  </si>
  <si>
    <t>Minergie ECO Neuf - Cible</t>
  </si>
  <si>
    <t>Murs ext.</t>
  </si>
  <si>
    <t>Dalle contre terre</t>
  </si>
  <si>
    <t>Fenêtres</t>
  </si>
  <si>
    <t>Constructions int.</t>
  </si>
  <si>
    <t>Référence à bâtiment moyen multi-logement:</t>
  </si>
  <si>
    <t>SRE</t>
  </si>
  <si>
    <t>Minergie ECO Transf. - Limite</t>
  </si>
  <si>
    <t>Minergie ECO Transf. - Cible</t>
  </si>
  <si>
    <t>Ventilation</t>
  </si>
  <si>
    <t>Sanitaires</t>
  </si>
  <si>
    <t>Electriques</t>
  </si>
  <si>
    <t>Production de chaleur</t>
  </si>
  <si>
    <t>Distribution de chaleur</t>
  </si>
  <si>
    <t>Diffusion de chaleur</t>
  </si>
  <si>
    <t>Par eCCC</t>
  </si>
  <si>
    <t>Construction</t>
  </si>
  <si>
    <t>Carbone biogène</t>
  </si>
  <si>
    <t>Biogénique Par eCCC</t>
  </si>
  <si>
    <t>PV réinjectée réseau</t>
  </si>
  <si>
    <t>Total</t>
  </si>
  <si>
    <t>Objectifs</t>
  </si>
  <si>
    <t>Liste unique matériaux</t>
  </si>
  <si>
    <t>kg</t>
  </si>
  <si>
    <t>m3</t>
  </si>
  <si>
    <t>Liste triée</t>
  </si>
  <si>
    <t>unité</t>
  </si>
  <si>
    <t>%total kgCO2</t>
  </si>
  <si>
    <t>kg/unité</t>
  </si>
  <si>
    <t>Liste pour graphe</t>
  </si>
  <si>
    <t>Tonnes</t>
  </si>
  <si>
    <t xml:space="preserve">Matériaux </t>
  </si>
  <si>
    <t>Possibilité de conversion UF</t>
  </si>
  <si>
    <t>Cadre de fenêtre bois-métal</t>
  </si>
  <si>
    <t>Protection solaire, stores vénitiens avec moteur 4</t>
  </si>
  <si>
    <t>Triple vitrage, U&lt;0.6 W/m2K, épaisseur 40 mm 3</t>
  </si>
  <si>
    <t>Parquet, 2 plis, vitrifié d'usine, 11 mm</t>
  </si>
  <si>
    <t>Dalle en céramique/grès, 9 mm</t>
  </si>
  <si>
    <t>Enduit, diluable à l'eau, 2 couches</t>
  </si>
  <si>
    <t>Béton dur, 1 couche, 27,5 mm</t>
  </si>
  <si>
    <t>Portes extérieures aluminium, avec vitrage</t>
  </si>
  <si>
    <t>Vol.excavation</t>
  </si>
  <si>
    <t>Émulsion de bitume, 1 couche</t>
  </si>
  <si>
    <t>Tableau de synthèse de l'indice de dépense d'énergie du projet en cours</t>
  </si>
  <si>
    <t>Installations techniques spécifiques</t>
  </si>
  <si>
    <t>Spécifications enveloppe thermique</t>
  </si>
  <si>
    <t>Annexe H - SIA 380:2017 "Bases pour les calculs énergétiques des bâtiments"</t>
  </si>
  <si>
    <t>Production electrique [kWh]</t>
  </si>
  <si>
    <t>Agent energetique</t>
  </si>
  <si>
    <t>Indices de dépense d'énergie pour l'électricité [kgCO2éq/m2.an]</t>
  </si>
  <si>
    <t>Indices de dépense d'énergie total [kgCO2éq/m2.an]</t>
  </si>
  <si>
    <t>Solaire thermique</t>
  </si>
  <si>
    <t>Electricité autoconsommée [kWh]</t>
  </si>
  <si>
    <t>Electricité réseau [kWh]</t>
  </si>
  <si>
    <t>rendement solaire spécifique</t>
  </si>
  <si>
    <t>kWh/m2 de capteur</t>
  </si>
  <si>
    <t>Données spécifiques - enveloppe thermique</t>
  </si>
  <si>
    <t>Capacité thermique</t>
  </si>
  <si>
    <t>Calcul selon le choix</t>
  </si>
  <si>
    <t>Eléments opaques (contre ext.)</t>
  </si>
  <si>
    <t>Limite selon norme (60% du besoin)</t>
  </si>
  <si>
    <t>kWh/m2SRE</t>
  </si>
  <si>
    <t>Valeur-U fenêtres (verre, cadre et intercallaire)</t>
  </si>
  <si>
    <t>(3-IV-IR U0.6 / cadre Bois/Alu U 1.2)</t>
  </si>
  <si>
    <t>Valeur calculée</t>
  </si>
  <si>
    <t>Valeur g vitrage</t>
  </si>
  <si>
    <t>Photovoltaique</t>
  </si>
  <si>
    <t>Valeurs-U</t>
  </si>
  <si>
    <t>Densité énergétique</t>
  </si>
  <si>
    <t>kWp/m2</t>
  </si>
  <si>
    <t>Parois</t>
  </si>
  <si>
    <t>Productivité</t>
  </si>
  <si>
    <t>kWh/kWp.an</t>
  </si>
  <si>
    <t>Minimum Minergie / -P : 10W/m2</t>
  </si>
  <si>
    <t>Kwh/kwh</t>
  </si>
  <si>
    <t>Minergie-A: Couvre besoins</t>
  </si>
  <si>
    <t>Part auto-consommée</t>
  </si>
  <si>
    <t>Chauffage PAC</t>
  </si>
  <si>
    <t>Part exportée</t>
  </si>
  <si>
    <t>Climatisation</t>
  </si>
  <si>
    <t>Sondes géothermiques</t>
  </si>
  <si>
    <t>Eclairage</t>
  </si>
  <si>
    <t>m/m2EBF</t>
  </si>
  <si>
    <t>m</t>
  </si>
  <si>
    <t>Appareils</t>
  </si>
  <si>
    <t>Installation techniques</t>
  </si>
  <si>
    <t>Système</t>
  </si>
  <si>
    <t>Indice carbone</t>
  </si>
  <si>
    <t>Electricité nécessaire (kWh elec/kWh thermique)</t>
  </si>
  <si>
    <t>Chauffage</t>
  </si>
  <si>
    <t>Eau chaude</t>
  </si>
  <si>
    <t>Références et limites normatives</t>
  </si>
  <si>
    <t>kWh/m2</t>
  </si>
  <si>
    <t>Pondération facteur national et comprend toute la consommation et auto-production</t>
  </si>
  <si>
    <t>Facteur de pondération national</t>
  </si>
  <si>
    <t xml:space="preserve">Indice Minergie </t>
  </si>
  <si>
    <t>(énergie finale pondérée)</t>
  </si>
  <si>
    <t>Electricité</t>
  </si>
  <si>
    <t>Chaleur à distance</t>
  </si>
  <si>
    <t>Habitat collectif</t>
  </si>
  <si>
    <t>Standard</t>
  </si>
  <si>
    <t xml:space="preserve">Cible </t>
  </si>
  <si>
    <t>Existant</t>
  </si>
  <si>
    <t>Demande annuelle en électricité de l'éclairage</t>
  </si>
  <si>
    <t>kWh/m2.an</t>
  </si>
  <si>
    <t>Demande annuelle en électricité de la ventilation</t>
  </si>
  <si>
    <t>Besoins de froid pour le refroidissement par an</t>
  </si>
  <si>
    <t>Besoins de chaleur pour le chauffage par an</t>
  </si>
  <si>
    <t>Besoins de chaleur pour l'eau chaude sanitaire par an</t>
  </si>
  <si>
    <t>Demande annuelle en électricité des appareils</t>
  </si>
  <si>
    <t>Appareil</t>
  </si>
  <si>
    <t>Technique</t>
  </si>
  <si>
    <t>Chauffage élec</t>
  </si>
  <si>
    <t>Eau chaude élec</t>
  </si>
  <si>
    <t>Pondération facteurs nationaux</t>
  </si>
  <si>
    <t>Ventilation + climatisation</t>
  </si>
  <si>
    <t>Administration 18 kWh/m2</t>
  </si>
  <si>
    <t>Administration 4 kWh/m2</t>
  </si>
  <si>
    <t>École 4 kWh/m2</t>
  </si>
  <si>
    <t>Commerce spécialisé 5 kWh/m2</t>
  </si>
  <si>
    <t>Magasin d’alimentation 5 kWh/m2</t>
  </si>
  <si>
    <t>Restaurant 11 kWh/m2</t>
  </si>
  <si>
    <t>Habitation 2 kWh/m2</t>
  </si>
  <si>
    <t>Habitation avec prescriptions d’occupation 3 kWh/m2</t>
  </si>
  <si>
    <t>Administration 7 kWh/m2</t>
  </si>
  <si>
    <t>École 5 kWh/m2</t>
  </si>
  <si>
    <t>Commerce spécialisé 30 kWh/m2</t>
  </si>
  <si>
    <t>Magasin d’alimentation 20 kWh/m2</t>
  </si>
  <si>
    <t>Restaurant 7 kWh/m2</t>
  </si>
  <si>
    <t>Habitation 12 kWh/m2</t>
  </si>
  <si>
    <t>Habitation avec prescriptions d’occupation 16 kWh/m2</t>
  </si>
  <si>
    <t>Magasin d’alimentation 217 kWh/m2</t>
  </si>
  <si>
    <t>Restaurant 49 kWh/m2</t>
  </si>
  <si>
    <t>Habitation par an 1’100 kWh/ascenseur</t>
  </si>
  <si>
    <t>Administration, école par an 3’300 kWh/ascenseur</t>
  </si>
  <si>
    <t>Commerce spécialisé, magasin</t>
  </si>
  <si>
    <t>d’alimentation, restaurant par an 4’000 kWh/ascenseur</t>
  </si>
  <si>
    <t>par an 11’000 kWh/escalier roulant</t>
  </si>
  <si>
    <t>Cellules photovoltaïques pour</t>
  </si>
  <si>
    <t>la production de courant 40 kWh de rendement annuel par m2 de module (toiture)</t>
  </si>
  <si>
    <t>80 kWh de rendement annuel par m2 de module (façade)</t>
  </si>
  <si>
    <t>Capteurs solaires thermiques 440 kWh de rendement annuel par m2 de capteur</t>
  </si>
  <si>
    <t>Détail des valeurs et des choix constructifs</t>
  </si>
  <si>
    <t>Nom du projet  :</t>
  </si>
  <si>
    <t>Date de simulation:</t>
  </si>
  <si>
    <t>Partie de batiment</t>
  </si>
  <si>
    <t>Eléments ou groupe d'éléments eCCC-Bat</t>
  </si>
  <si>
    <t>Désignation</t>
  </si>
  <si>
    <t>Calcul simplifié sur la base des inputs</t>
  </si>
  <si>
    <t>Choix constructifs à préciser</t>
  </si>
  <si>
    <t>Grandeur de référence</t>
  </si>
  <si>
    <t>Unité</t>
  </si>
  <si>
    <t>Le détail se trouve à la #ligne de l'onglet "Décomposition"</t>
  </si>
  <si>
    <t>Travaux préparatoires B06 / B07.02</t>
  </si>
  <si>
    <t>B06 / B07.02</t>
  </si>
  <si>
    <t>Fouilles</t>
  </si>
  <si>
    <t>Excavations</t>
  </si>
  <si>
    <t>Volume</t>
  </si>
  <si>
    <t xml:space="preserve">Enceintes de fouilles </t>
  </si>
  <si>
    <t>SEC</t>
  </si>
  <si>
    <t>Pieux de fondation</t>
  </si>
  <si>
    <t>Remblayages</t>
  </si>
  <si>
    <t>Remblai</t>
  </si>
  <si>
    <t>Enveloppe du bâtiment souterraine C01 / 02 / 04 - E01 - F01</t>
  </si>
  <si>
    <t>C01</t>
  </si>
  <si>
    <t>Fondations, radiers</t>
  </si>
  <si>
    <t>Fondations</t>
  </si>
  <si>
    <t>Radiers</t>
  </si>
  <si>
    <t>C02.01 (A) / E01</t>
  </si>
  <si>
    <t>Parois extérieures souterraines</t>
  </si>
  <si>
    <t>Paroi extérieure</t>
  </si>
  <si>
    <t>C04.04 / F01.01</t>
  </si>
  <si>
    <t>Toitures souterraines</t>
  </si>
  <si>
    <t>Toiture souterraine</t>
  </si>
  <si>
    <t>Enveloppe du bâtiment hors terrain C02 / 04 - E02 / 03 - F01 / 02</t>
  </si>
  <si>
    <t>C02.01 (B)</t>
  </si>
  <si>
    <t>Parois extérieures hors terrain</t>
  </si>
  <si>
    <t>Façade structure</t>
  </si>
  <si>
    <t>E02</t>
  </si>
  <si>
    <t>Revetements extérieurs de facades</t>
  </si>
  <si>
    <t>Façade revêtement extérieur</t>
  </si>
  <si>
    <t>Façade isolant</t>
  </si>
  <si>
    <t>E03 / F02</t>
  </si>
  <si>
    <t>Fenetres et portes</t>
  </si>
  <si>
    <t>Porte</t>
  </si>
  <si>
    <t>C04.04 / C04.05</t>
  </si>
  <si>
    <t>Toitures (structure porteuse)</t>
  </si>
  <si>
    <t>Toiture structure</t>
  </si>
  <si>
    <t>F01.02 / F01.03</t>
  </si>
  <si>
    <t>Couvertures</t>
  </si>
  <si>
    <t>Toiture couverture</t>
  </si>
  <si>
    <t>Eléments de construction intérieurs et extérieurs C02 / 04 - G02 / 03 / 04</t>
  </si>
  <si>
    <t>C02.02</t>
  </si>
  <si>
    <t>Parois intérieures</t>
  </si>
  <si>
    <t>Porteuse</t>
  </si>
  <si>
    <t>Non porteuse</t>
  </si>
  <si>
    <t>C04.01</t>
  </si>
  <si>
    <t>Planchers internes</t>
  </si>
  <si>
    <t>Rez</t>
  </si>
  <si>
    <t>C04.02</t>
  </si>
  <si>
    <t>Escaliers et rampes</t>
  </si>
  <si>
    <t>Escaliers</t>
  </si>
  <si>
    <t>C04.08</t>
  </si>
  <si>
    <t>Balcons, avant-toits</t>
  </si>
  <si>
    <t>Balcons y c. dispositifs antichute</t>
  </si>
  <si>
    <t>G01.05</t>
  </si>
  <si>
    <t>Portes</t>
  </si>
  <si>
    <t>Interne</t>
  </si>
  <si>
    <t>G02</t>
  </si>
  <si>
    <t>Revetements de sols</t>
  </si>
  <si>
    <t>Rez support</t>
  </si>
  <si>
    <t>Hors-terrain support</t>
  </si>
  <si>
    <t>Sous-sol support</t>
  </si>
  <si>
    <t>Isolation acoustique</t>
  </si>
  <si>
    <t>Isolant contre non-chauffé</t>
  </si>
  <si>
    <t>Isolant contre terre</t>
  </si>
  <si>
    <t>G03</t>
  </si>
  <si>
    <t>Revêtement intérieurs parois</t>
  </si>
  <si>
    <t>Parois de l'enveloppe</t>
  </si>
  <si>
    <t>Parois internes</t>
  </si>
  <si>
    <t>G04</t>
  </si>
  <si>
    <t>Revetements plafonds</t>
  </si>
  <si>
    <t>Plafonds dernier étage</t>
  </si>
  <si>
    <t>Plafonds inter-étage</t>
  </si>
  <si>
    <t>Installations CVSE D01 / 05 / 07 / 08 / 12</t>
  </si>
  <si>
    <t>D01</t>
  </si>
  <si>
    <t>Installation électriques</t>
  </si>
  <si>
    <t>Installation photovoltaique (1 m2 = 0.14 kWp)</t>
  </si>
  <si>
    <t>Puissance</t>
  </si>
  <si>
    <t>D05</t>
  </si>
  <si>
    <t>Distribution et émission de chaleur  et accumulation</t>
  </si>
  <si>
    <t>D07</t>
  </si>
  <si>
    <t>Installations de ventilation et de conditionnement d'air</t>
  </si>
  <si>
    <t>Extraction mécanique cuisine et salle de bain</t>
  </si>
  <si>
    <t>Installation de ventilation</t>
  </si>
  <si>
    <t>D08 /09</t>
  </si>
  <si>
    <t>Installations techniques d'eau</t>
  </si>
  <si>
    <t>Installation sanitaire</t>
  </si>
  <si>
    <t>Cet onglet présente une synthèse détaillée de l'impact des composants choisis - Ne pas modifier les valeurs sur cette page</t>
  </si>
  <si>
    <t>eCCC-Bat</t>
  </si>
  <si>
    <t>Macro-composant sélectionné</t>
  </si>
  <si>
    <t>Ligne de référence</t>
  </si>
  <si>
    <t>Détail des macro-composants</t>
  </si>
  <si>
    <t>Référence matériaux KBOB</t>
  </si>
  <si>
    <t>KBOB ID</t>
  </si>
  <si>
    <t>Quantités</t>
  </si>
  <si>
    <t>Durée de vie</t>
  </si>
  <si>
    <t>Quantité par m2 d'élément</t>
  </si>
  <si>
    <t>Phase C  [kgCO2eq/m2]</t>
  </si>
  <si>
    <t>Déconstruction</t>
  </si>
  <si>
    <t>Biogenic construction</t>
  </si>
  <si>
    <t>Transport sur 30 km</t>
  </si>
  <si>
    <t>62.016</t>
  </si>
  <si>
    <t>tkm</t>
  </si>
  <si>
    <t>Enveloppe du bâtiment souterraine</t>
  </si>
  <si>
    <t>Enveloppe du bâtiment hors terrain</t>
  </si>
  <si>
    <t>Eléments de construction intérieurs et extérieurs</t>
  </si>
  <si>
    <t>Beschreibung Bauteil</t>
  </si>
  <si>
    <t>Zusammensetzung Bauteil</t>
  </si>
  <si>
    <t>Référence</t>
  </si>
  <si>
    <t>Unité KBOB</t>
  </si>
  <si>
    <t>KBOB-ID</t>
  </si>
  <si>
    <t>Bezug</t>
  </si>
  <si>
    <t>Amortisation [a]</t>
  </si>
  <si>
    <t>PE n.e. Herstellung [kWh]</t>
  </si>
  <si>
    <t>PE n.e. Entsorgung [kWh]</t>
  </si>
  <si>
    <t>THG Herstellung [kg CO2-eq.]</t>
  </si>
  <si>
    <t>THG Entsorgung [kg CO2-eq.]</t>
  </si>
  <si>
    <t>Biogener Kohlenstoff
Carbone biogène
[kgCO2]</t>
  </si>
  <si>
    <t>2050 THG Herstellung [kg CO2-eq.]</t>
  </si>
  <si>
    <t>2050 THG Entsorgung [kg CO2-eq.]</t>
  </si>
  <si>
    <t>Aushub / Excavations</t>
  </si>
  <si>
    <t>Aushub / Excavation</t>
  </si>
  <si>
    <t>Aushub maschinell / Excavation mécanique</t>
  </si>
  <si>
    <t>62.001</t>
  </si>
  <si>
    <t>Déplacement</t>
  </si>
  <si>
    <t>Blindage / Pieux</t>
  </si>
  <si>
    <t>pro m2 Bodenplatte</t>
  </si>
  <si>
    <t>Baugrubenabschluss / Blindage de fouille</t>
  </si>
  <si>
    <t>00.005</t>
  </si>
  <si>
    <t>00.006</t>
  </si>
  <si>
    <t>00.007</t>
  </si>
  <si>
    <t>00.008</t>
  </si>
  <si>
    <t>00.009</t>
  </si>
  <si>
    <t>00.010</t>
  </si>
  <si>
    <t>00.011</t>
  </si>
  <si>
    <t>00.012</t>
  </si>
  <si>
    <t>Pfählung / Pieux</t>
  </si>
  <si>
    <t>Mikrobohrpfahl (Annahme 1.5 m Pfählung pro m2 Bodenplatte)</t>
  </si>
  <si>
    <t>00.013</t>
  </si>
  <si>
    <t>00.015</t>
  </si>
  <si>
    <t>Ortbetonverdrängungspfahl (Annahme 1.5 m Pfählung pro m2 Bodenplatte)</t>
  </si>
  <si>
    <t>00.018</t>
  </si>
  <si>
    <t>00.019</t>
  </si>
  <si>
    <t>Vorgefertigter Betonpfahl (Annahme 1.5 m Pfählung pro m2 Bodenplatte)</t>
  </si>
  <si>
    <t>00.020</t>
  </si>
  <si>
    <t>Autre</t>
  </si>
  <si>
    <t>BfU_treeze_2016-Erneuerung_Erweiterung_Oekobilanzdaten_KBOB</t>
  </si>
  <si>
    <t>auskragendenen</t>
  </si>
  <si>
    <t>en porte-à-feux</t>
  </si>
  <si>
    <t>verankerten</t>
  </si>
  <si>
    <t>fixe</t>
  </si>
  <si>
    <t>verspriessten</t>
  </si>
  <si>
    <t>étayé</t>
  </si>
  <si>
    <t>Spundwand</t>
  </si>
  <si>
    <t>Palplanches</t>
  </si>
  <si>
    <t>Rühlwand</t>
  </si>
  <si>
    <t>Schlitzwand</t>
  </si>
  <si>
    <t>Paroi moulée</t>
  </si>
  <si>
    <t>Bohrpfahlwand</t>
  </si>
  <si>
    <t>Paroi de pieux forés</t>
  </si>
  <si>
    <t>"Stadt Zürich"</t>
  </si>
  <si>
    <t>Paroi clouée</t>
  </si>
  <si>
    <t>Volumen abhängig von Baugrubensicherung</t>
  </si>
  <si>
    <t>Tiefe</t>
  </si>
  <si>
    <t>t</t>
  </si>
  <si>
    <t>Breite</t>
  </si>
  <si>
    <t>b</t>
  </si>
  <si>
    <t>Area</t>
  </si>
  <si>
    <t>Ubaugrube (périmètre)</t>
  </si>
  <si>
    <t>Bezug pro m2</t>
  </si>
  <si>
    <t>Betonplatte als Flachfundation/Dalle en béton comme fondation plate, nicht wasserdicht/non étanche à l'eau, CEM II 300 kg/m3, Bewehrung/Armature 105 kg/m3, inkl. Sauberkeitsschicht/Couche de propreté</t>
  </si>
  <si>
    <r>
      <t>Magerbeton / Béton maigre 7 cm [kg], 2'150 [kg/m</t>
    </r>
    <r>
      <rPr>
        <vertAlign val="superscript"/>
        <sz val="11"/>
        <color theme="1"/>
        <rFont val="Arial"/>
        <family val="2"/>
      </rPr>
      <t>3</t>
    </r>
    <r>
      <rPr>
        <sz val="11"/>
        <color theme="1"/>
        <rFont val="Arial"/>
        <family val="2"/>
      </rPr>
      <t>]</t>
    </r>
  </si>
  <si>
    <t>01.001</t>
  </si>
  <si>
    <t>Hochbaubeton / béton pour bâtiment, 30 cm [kg], 2'300 [kg/m3]</t>
  </si>
  <si>
    <t>01.002</t>
  </si>
  <si>
    <t>Armierungsstahl / Acier d'armature [kg], 7'850 [kg/m3]</t>
  </si>
  <si>
    <t>06.003</t>
  </si>
  <si>
    <t>isolés, XPS</t>
  </si>
  <si>
    <t>Etanchéité</t>
  </si>
  <si>
    <t>Bitumenanstrich / Emulsion de bitume [m2]</t>
  </si>
  <si>
    <t>14.003</t>
  </si>
  <si>
    <t>Noppenfolie / Feuille PE [kg]</t>
  </si>
  <si>
    <t>13.002</t>
  </si>
  <si>
    <t xml:space="preserve">Dämmung XPS, U=0.15 W/m2K </t>
  </si>
  <si>
    <t>XPS, 33 kg/m3, lamdaD 0.033 W/mK, 20 cm [kg]</t>
  </si>
  <si>
    <t>10.005</t>
  </si>
  <si>
    <t>isolés, Verre cellulaire</t>
  </si>
  <si>
    <t xml:space="preserve">Dämmung Schaumglas, U=0.15 W/m2K </t>
  </si>
  <si>
    <t>Verre cellulaire / Foamglas T4+, 115 kg/m3, lambdaD 0.041 W/mK, 25 cm [kg]</t>
  </si>
  <si>
    <t>10.007</t>
  </si>
  <si>
    <r>
      <t>pro m</t>
    </r>
    <r>
      <rPr>
        <b/>
        <vertAlign val="superscript"/>
        <sz val="11"/>
        <color theme="1"/>
        <rFont val="Arial"/>
        <family val="2"/>
      </rPr>
      <t>2</t>
    </r>
    <r>
      <rPr>
        <b/>
        <sz val="11"/>
        <color theme="1"/>
        <rFont val="Arial"/>
        <family val="2"/>
      </rPr>
      <t xml:space="preserve"> BTF</t>
    </r>
  </si>
  <si>
    <t>Betonwand 25 cm, CEM II 300 kg/m3, Bewehrung 97.5 kg/m3 , Bitumenanstrich &amp; Noppenfolie</t>
  </si>
  <si>
    <t>Hochbaubeton / béton pour bâtiment, 25 cm [kg], 2'300 [kg/m3]</t>
  </si>
  <si>
    <t>3-SP Schalung/Coffrage 2.5cm (Annahme/Hyp. 5xverwendet/utilisé) [kg]</t>
  </si>
  <si>
    <t>07.001</t>
  </si>
  <si>
    <t>Dämmung XPS U-Wert=0.15 W/m2K (inkl. Betonwand)</t>
  </si>
  <si>
    <t>Bitumenkleber / Colle bitumineuse [kg]</t>
  </si>
  <si>
    <t>08.002</t>
  </si>
  <si>
    <t>Dämmung Foamlgas U-Wert=0.15 W/m2K (inkl. Betonwand)</t>
  </si>
  <si>
    <t>Betondecke 30 cm, CEM II 300 kg/m3, Bewehrung 112.5 kg/m3, 1xPolymerbitumendichtungsbahn, Schutzmatte, Kies</t>
  </si>
  <si>
    <t>Bitumenemulsion / Emulsion de bitume [m2]</t>
  </si>
  <si>
    <t>Polymerbitumenbahn EP5 [kg]</t>
  </si>
  <si>
    <t>09.003.07</t>
  </si>
  <si>
    <t>Trenn-/Schutzvlies [kg]</t>
  </si>
  <si>
    <t>09.008</t>
  </si>
  <si>
    <t>Kies 3 cm [kg]</t>
  </si>
  <si>
    <t>03.012</t>
  </si>
  <si>
    <t>Betondecke 30 cm, CEM II 300 kg/m3, Bewehrung 112.5 kg/m3, Dämmung XPS 20 cm (U-Wert 0.15 W/m2K für gesamter Dachaufbau), 2xPolymerbitumendichtungsbahn, Schutzmatte, Kies</t>
  </si>
  <si>
    <t>Bitumenemulsion [m2]</t>
  </si>
  <si>
    <t>Polymerbitumenbahn EP4 [kg]</t>
  </si>
  <si>
    <t>09.003.01</t>
  </si>
  <si>
    <t>2xPolymerbitumenbahn EGV3 [kg]</t>
  </si>
  <si>
    <t>09.003.03</t>
  </si>
  <si>
    <t>Betondecke 30 cm, CEM II 300 kg/m3, Bewehrung 112.5 kg/m3, Dämmung Schaumglas 25 cm (U-Wert 0.15 W/m2K für gesamter Dachaufbau), 2xPolymerbitumendichtungsbahn, Schutzmatte, Kies</t>
  </si>
  <si>
    <t>Heissbitumen [kg]</t>
  </si>
  <si>
    <t>Paroi en béton</t>
  </si>
  <si>
    <t>Betonwand 20 cm, CEM II 300 kg/m3, Bewehrung 97.5 kg/m3</t>
  </si>
  <si>
    <t>Hochbaubeton, 20 cm [kg]</t>
  </si>
  <si>
    <t>Armierungsstahl [kg]</t>
  </si>
  <si>
    <t>3-SP Schalung 2.5cm (Annahme 5xverwendet) [kg]</t>
  </si>
  <si>
    <t>Paroi en bois</t>
  </si>
  <si>
    <t>Brettstapelwand 10 cm</t>
  </si>
  <si>
    <t>Nadelschnittholz [kg]</t>
  </si>
  <si>
    <t>07.009</t>
  </si>
  <si>
    <t>Paroi en brique en terre cuite</t>
  </si>
  <si>
    <t>Backsteinwand 30 cm</t>
  </si>
  <si>
    <t>Backstein [kg]</t>
  </si>
  <si>
    <t>02.001</t>
  </si>
  <si>
    <t>Mörtel [kg]</t>
  </si>
  <si>
    <t>04.009</t>
  </si>
  <si>
    <t>Paroi en briques pour double paroi en briques</t>
  </si>
  <si>
    <t>Backsteinwand 15 cm</t>
  </si>
  <si>
    <t>Maconnerie monolithique isolante</t>
  </si>
  <si>
    <t>Porotherm T7 49 cm U-Wert ca. 0.14 W/m2K inkl. Dünnbettmörtel</t>
  </si>
  <si>
    <t>Blähperlit [kg]</t>
  </si>
  <si>
    <t>10.012</t>
  </si>
  <si>
    <t>Dünnbettmörtel [kg]</t>
  </si>
  <si>
    <t>04.008</t>
  </si>
  <si>
    <t>Revêtements de facades</t>
  </si>
  <si>
    <r>
      <t>pro m</t>
    </r>
    <r>
      <rPr>
        <b/>
        <vertAlign val="superscript"/>
        <sz val="11"/>
        <color theme="1"/>
        <rFont val="Arial"/>
        <family val="2"/>
      </rPr>
      <t>2</t>
    </r>
  </si>
  <si>
    <t>Crépis extérieur</t>
  </si>
  <si>
    <t>Aussenwärmedämmung EPS, mineralischer Verputz, inkl. Befestigung und Farbanstrich, U-Wert=0.15 W/m2K (gesamter Aufbau inkl. Wand 25 cm Beton)</t>
  </si>
  <si>
    <t>Zementkleber [kg]</t>
  </si>
  <si>
    <t>Dämmstoffdübel (3 Stk. à 40g pro m2) [kg]</t>
  </si>
  <si>
    <t>15.002</t>
  </si>
  <si>
    <t>Einbettmörtel [kg]</t>
  </si>
  <si>
    <t>04.010</t>
  </si>
  <si>
    <t>Armierungsgewebe [kg]</t>
  </si>
  <si>
    <t>Mineralischer Deckputz (Kalk-Zementputz) 1.5mm [kg]</t>
  </si>
  <si>
    <t>04.013</t>
  </si>
  <si>
    <t>Anstrich [m2]</t>
  </si>
  <si>
    <t>14.001</t>
  </si>
  <si>
    <t>Revêtement bois ventilé</t>
  </si>
  <si>
    <t>Holzschalung inkl. Unterkonstrukton (System Rogger für Dämmstärke 20 cm), 20 cm Glaswolle</t>
  </si>
  <si>
    <t>Holzschalung mit Nut und Kamm [kg]</t>
  </si>
  <si>
    <t>07.011</t>
  </si>
  <si>
    <t>Vergrauungslasur [m2]</t>
  </si>
  <si>
    <t>Chromstahl 18/8 (Rogger Dübel), 3.5 Stk./m2 [kg]</t>
  </si>
  <si>
    <t>06.004</t>
  </si>
  <si>
    <t>Polyamid glasfaserverstärkt (Rogger Dübel) [kg]</t>
  </si>
  <si>
    <t>Stahlprofile verzinkt [kg]</t>
  </si>
  <si>
    <t>06.011</t>
  </si>
  <si>
    <t>Dämmstoffdübel (3 Stk. à 40 g pro m2) [kg]</t>
  </si>
  <si>
    <t>Winpapier (PE Spinnvlies) [kg]</t>
  </si>
  <si>
    <t>Mur double paroi - extérieure 12.5cm, Laine de roche</t>
  </si>
  <si>
    <r>
      <t xml:space="preserve">Klinkervormauerung </t>
    </r>
    <r>
      <rPr>
        <sz val="11"/>
        <color rgb="FFFF0000"/>
        <rFont val="Arial"/>
        <family val="2"/>
      </rPr>
      <t>12.5cm</t>
    </r>
    <r>
      <rPr>
        <sz val="11"/>
        <color theme="1"/>
        <rFont val="Arial"/>
        <family val="2"/>
      </rPr>
      <t>, 22 cm Steinwolle</t>
    </r>
  </si>
  <si>
    <t>12.5 cm Sichtbackstein Klinker [kg]</t>
  </si>
  <si>
    <t>03.015</t>
  </si>
  <si>
    <t>Armierung Chromstahl [kg]</t>
  </si>
  <si>
    <t>Winpapier (PE Spinnvlies)</t>
  </si>
  <si>
    <t>Revêtement Fibrociment</t>
  </si>
  <si>
    <t>Faserzement inkl. Unterkonstrukton (System Wagner UKS für Dämmstärke 20 cm), 20 cm Glaswolle</t>
  </si>
  <si>
    <t>Faserzement [kg]</t>
  </si>
  <si>
    <t>03.003</t>
  </si>
  <si>
    <t>Aluminiumprofile [kg]</t>
  </si>
  <si>
    <t>06.002</t>
  </si>
  <si>
    <t>Chromstahl 18/8 [kg]</t>
  </si>
  <si>
    <t>PVC [kg]</t>
  </si>
  <si>
    <t>13.004</t>
  </si>
  <si>
    <t>Revêtement Pierre naturelle</t>
  </si>
  <si>
    <t>Naturstein, Leichtmetall Unterkonstruktion, 22 cm Steinwolle</t>
  </si>
  <si>
    <t>Naturstein</t>
  </si>
  <si>
    <t>03.009</t>
  </si>
  <si>
    <t>Aluminiumunterkonstruktion [kg]</t>
  </si>
  <si>
    <t>Revêtements métal</t>
  </si>
  <si>
    <t>Alu-Verbundplatte (Sandwich 4mm Alu beidseitig mit Kunststoffker, Leichtmetall Unterkonstruktion), 22 cm Steinwolle</t>
  </si>
  <si>
    <t>Fassadenplatte, Aluverbund, 4 mm</t>
  </si>
  <si>
    <t>05.022</t>
  </si>
  <si>
    <t>Dämmstoffdübel [kg]</t>
  </si>
  <si>
    <t>Revêtements verre</t>
  </si>
  <si>
    <t>ESG Bekleidung, Leichtmetall Unterkonstruktion, 20 cm Glaswolle</t>
  </si>
  <si>
    <t>10 mm Einscheibensicherheitsglas [kg]</t>
  </si>
  <si>
    <t>03.005</t>
  </si>
  <si>
    <t>Crépis extérieur sans isolant</t>
  </si>
  <si>
    <t>Mineralisches Aussenputzsystem (Grundputz, Deckputz ) inkl. Farbanstrich</t>
  </si>
  <si>
    <t>Zement Grundputz 1cm [kg]</t>
  </si>
  <si>
    <t>Mineralischer Deckputz (Kalk-Zementputz) 1.5 mm [kg]</t>
  </si>
  <si>
    <t>Isolant façade</t>
  </si>
  <si>
    <t>EPS</t>
  </si>
  <si>
    <t>EPS 200 mm (16 kg/m3, 0.031 W/mK) [kg]</t>
  </si>
  <si>
    <t>10.004</t>
  </si>
  <si>
    <t>Laine de roche</t>
  </si>
  <si>
    <t>220 mm Steinwolle (48 kg/m3, 0.034 W/mK) [kg]</t>
  </si>
  <si>
    <t>10.008</t>
  </si>
  <si>
    <t>Laine de roche, pour revêtement crépi</t>
  </si>
  <si>
    <t>Steinwolle 220 mm (80 kg/m3, 0.034 W/mK) [kg]</t>
  </si>
  <si>
    <t>Laine de verre</t>
  </si>
  <si>
    <t>200 mm Glaswolle (38 kg/m3, 0.032 W/mK) [kg]</t>
  </si>
  <si>
    <t>10.001</t>
  </si>
  <si>
    <t>Holz-Metallfenster über Brüstung, Ug=0.6 W/m2K, Rahmenanteil 22% (entspricht Normalfenster), Lamellenstoren (Aluminiumlamellen inkl. Storenkasten, Antrieb, Führungsschienen)</t>
  </si>
  <si>
    <t>Holz-Metallfenster [m2 i.L.]</t>
  </si>
  <si>
    <t>05.006</t>
  </si>
  <si>
    <t>Isolierverglasung 3-fach, Ug-Wert 0.6 W/m2K, Dicke 40 mm [m2]</t>
  </si>
  <si>
    <t>05.012</t>
  </si>
  <si>
    <t>Lamellenstoren [m2]</t>
  </si>
  <si>
    <t>05.017</t>
  </si>
  <si>
    <t>Protection solaire</t>
  </si>
  <si>
    <t>Alu/Glas und Sonnenschutz (Mittelwert Lamellenstoren/Knickarmmarkise inkl. Storenkasten, Führungsschienen und Antrieb)</t>
  </si>
  <si>
    <t>Pfostenriegel Alu/Glas [m2]</t>
  </si>
  <si>
    <t>05.008</t>
  </si>
  <si>
    <t>Ausstellstoren [m2]</t>
  </si>
  <si>
    <t>05.018</t>
  </si>
  <si>
    <t>Porte extérieure</t>
  </si>
  <si>
    <t>Aussentüre, Aluminium, Glaseinsatz</t>
  </si>
  <si>
    <t>12.005</t>
  </si>
  <si>
    <t>Dalle en béton 25cm</t>
  </si>
  <si>
    <t>Betondecke 25cm</t>
  </si>
  <si>
    <t>Hochbaubeton 25 cm [kg]</t>
  </si>
  <si>
    <t>Armierungsstahl (Bewehurngsgehalt 90 kg/m3) [kg]</t>
  </si>
  <si>
    <t>Plafond en bois massif</t>
  </si>
  <si>
    <t>Brettstapeldecke 5-6 m Spannweite, 23 cm Massivholz verdübelt</t>
  </si>
  <si>
    <t>3-SP [kg]</t>
  </si>
  <si>
    <t>Dalle en béton 40cm</t>
  </si>
  <si>
    <t>Betondecke 40 cm</t>
  </si>
  <si>
    <t>Hochbaubeton 40 cm [kg]</t>
  </si>
  <si>
    <t>Armierungsstahl (Bewehrungsgehalt 147.5 kg/m3) [kg]</t>
  </si>
  <si>
    <t>3-SP Schalung 2.5 cm (Annahme 5xverwendet) [kg]</t>
  </si>
  <si>
    <t>Plafond solivage</t>
  </si>
  <si>
    <t>Plafond incliné en bois</t>
  </si>
  <si>
    <t>Holzbalkendecke</t>
  </si>
  <si>
    <t>Plancher à solivages en bois</t>
  </si>
  <si>
    <t>Sperrholz für Feuchtebreich [kg]</t>
  </si>
  <si>
    <t>07.018</t>
  </si>
  <si>
    <t>MF-Klebstoff</t>
  </si>
  <si>
    <t>08.001</t>
  </si>
  <si>
    <t>Isolation acoustique 6cm</t>
  </si>
  <si>
    <t>10.010</t>
  </si>
  <si>
    <t>Tôle ondulée-béton</t>
  </si>
  <si>
    <t>Profilblech Verbunddecke, Spannweite 5 m inkl. IPE Träger, Überdeckung 11 cm, Gesamtsträrke 27 cm</t>
  </si>
  <si>
    <t>Armierungsstahl (Bewehrungsgehalt 80 kg/m3) [kg]</t>
  </si>
  <si>
    <t>Stahlblech [kg]</t>
  </si>
  <si>
    <t>Stahlträger [kg]</t>
  </si>
  <si>
    <t>06.012</t>
  </si>
  <si>
    <t>Couvertures du toit</t>
  </si>
  <si>
    <t>Toiture plate</t>
  </si>
  <si>
    <t>Dachaufbau: EPS, Bituminöse Dampfbremse, 2x Polymerbitumendichtungsbahn, Schutz-/Trennschicht, Extensivbegrünung.</t>
  </si>
  <si>
    <t>2 x EGV3 Polymerbitumenbahn [kg]</t>
  </si>
  <si>
    <t>09.001</t>
  </si>
  <si>
    <t>1x EP4 Polymerbitumenbahn [kg]</t>
  </si>
  <si>
    <t>09.003</t>
  </si>
  <si>
    <t>PP-Vlies Trenn-/Schutzvlies [kg]</t>
  </si>
  <si>
    <t>Substrat 7 cm [kg]</t>
  </si>
  <si>
    <t>03.013</t>
  </si>
  <si>
    <t>Toiture inclinée</t>
  </si>
  <si>
    <t>Geneigtes Dach, gedämmt mit 22 cm Steinwolle, Ziegeleindeckung inkl. Unterdach und Verankerung (Standardeindeckung, Konter- und Ziegellattung, diffusionsoffene Unterdachfolie)</t>
  </si>
  <si>
    <t>Konter- und Ziegellattung aus Nadelschnittholz [kg]</t>
  </si>
  <si>
    <t>Unterdachfolie: PP-Vlies [kg]</t>
  </si>
  <si>
    <t>Ziegeleindeckeung [kg]</t>
  </si>
  <si>
    <t>Befestigung mit verzinkten Stahlschrauben [kg]</t>
  </si>
  <si>
    <t>PE Dampfbremse [kg]</t>
  </si>
  <si>
    <t>09.007</t>
  </si>
  <si>
    <t>Toiture plate non isolée</t>
  </si>
  <si>
    <t>Dachaufbau ohne Dämmung, bituminös (2x Polymerbitumendichtungsbahn, Trennschicht, Extensivbegrünung)</t>
  </si>
  <si>
    <t>2x EP4 Polymerbitumenbahn [kg]</t>
  </si>
  <si>
    <t>Toiture inclinée non isolée</t>
  </si>
  <si>
    <t>Ziegeleindeckung inkl. Unterdach und Verankerung (Standardeindeckung, Konter- und Ziegellattung, diffusionsoffene Unterdachfolie)</t>
  </si>
  <si>
    <t>EPS 22 cm</t>
  </si>
  <si>
    <t>EPS 25 Standard, 22 cm, 25 kg/m3 [kg]</t>
  </si>
  <si>
    <t>Laine de roche 28 cm</t>
  </si>
  <si>
    <t>Steinwolle 28 cm, 160kg/m3</t>
  </si>
  <si>
    <t>Glaswolle (60 kg/m3)</t>
  </si>
  <si>
    <t>PUR</t>
  </si>
  <si>
    <t>PUR 16 cm</t>
  </si>
  <si>
    <t>PUR, 16 cm, 30 kg/m3 [kg]</t>
  </si>
  <si>
    <t>10.006</t>
  </si>
  <si>
    <t>Paille</t>
  </si>
  <si>
    <t xml:space="preserve">Laine de roche 28 cm </t>
  </si>
  <si>
    <t>Steinwolle 28 cm, 90 kg/m3</t>
  </si>
  <si>
    <t>Pilier</t>
  </si>
  <si>
    <t>Pilier en béton coulé sur place</t>
  </si>
  <si>
    <t>20x20 cm, K   48 (3G / 4 x 4 m), CEM II 300 kg/m3, Bewehrung 300 kg/m3 Vd = 600 kN, 1 Stütze alle 3 m Aussenwand</t>
  </si>
  <si>
    <t>Hochbaubeton  [kg]</t>
  </si>
  <si>
    <t>Support préfabriqué</t>
  </si>
  <si>
    <t>20 x 20 cm, K   48 (3G / 4 x 4 m), CEM I 400 kg/m3, Bewehrung 250 kg/m3 Vd = 800 kN, 1 Stütze alle 3 m Aussenwand</t>
  </si>
  <si>
    <t>Betonfertigteil, Normalbeton, ab Werk [kg]</t>
  </si>
  <si>
    <t>01.042</t>
  </si>
  <si>
    <t>Parois intérieures porteuses et cage d'escalier</t>
  </si>
  <si>
    <t>Béton</t>
  </si>
  <si>
    <t>Paroi CLT</t>
  </si>
  <si>
    <t>Leichtbauwand, 60dB, Beplankung mit Gipsfaserplatten</t>
  </si>
  <si>
    <t>2 x 72 mm CLT</t>
  </si>
  <si>
    <t>Steinwolle [kg]</t>
  </si>
  <si>
    <t>Briques</t>
  </si>
  <si>
    <t>Backsteinwand 15 cm inkl. Mörtel</t>
  </si>
  <si>
    <t>15 cm Backstein [kg]</t>
  </si>
  <si>
    <t xml:space="preserve">Briques silico-calcaires </t>
  </si>
  <si>
    <t>Kalksandsteinwand 15cm inkl. Mörtel</t>
  </si>
  <si>
    <t>15 cm Kalksandstein [kg]</t>
  </si>
  <si>
    <t>02.002</t>
  </si>
  <si>
    <t>Parois intérieures non-porteuses</t>
  </si>
  <si>
    <t>Cloison légère</t>
  </si>
  <si>
    <t>2 x 12.5 mm und 2 x 10mm Gipsfaserplatten [kg]</t>
  </si>
  <si>
    <t>03.007</t>
  </si>
  <si>
    <t>Paroi placoplatre</t>
  </si>
  <si>
    <t xml:space="preserve">2 x 12.5 mm </t>
  </si>
  <si>
    <t>Armierungsstahl (Bewehrungsgehalt 90 kg/m3) [kg]</t>
  </si>
  <si>
    <t>Plancher en éléments de bois</t>
  </si>
  <si>
    <t>Hohlkörperdecke (6m Spannweite, Elementhöhe 24cm, Breite 100cm), mit Schalldämung (Schüttung), Massivholz verleimt</t>
  </si>
  <si>
    <t>Leim [kg]</t>
  </si>
  <si>
    <t>Schüttung [kg]</t>
  </si>
  <si>
    <t>03.011</t>
  </si>
  <si>
    <t>Sommier</t>
  </si>
  <si>
    <t>Solives</t>
  </si>
  <si>
    <t>07.003</t>
  </si>
  <si>
    <t>Panneau 3 plis 32mm</t>
  </si>
  <si>
    <t>Système mixte bois-béton</t>
  </si>
  <si>
    <t>Holzbetonverbund 22cm, 9cm Beton, 13cm Brettstapel</t>
  </si>
  <si>
    <t>Hochbaubeton 9cm [kg]</t>
  </si>
  <si>
    <t>Escaliers béton</t>
  </si>
  <si>
    <t>Balcon</t>
  </si>
  <si>
    <t>Betonkragplatte 1.6 m Auskragung inkl. Metallgeländer</t>
  </si>
  <si>
    <t>Balkonkragplatte Ortbeton [kg]</t>
  </si>
  <si>
    <t>Bewehrungsstahl [kg]</t>
  </si>
  <si>
    <t>Chromstahl (Kragplattenanschluss) [kg]</t>
  </si>
  <si>
    <t>XPS (Kragplattenanschluss)[kg]</t>
  </si>
  <si>
    <t>Harbetonüberzug [kg]</t>
  </si>
  <si>
    <t>11.005</t>
  </si>
  <si>
    <t>Metallstabgeländer [kg]</t>
  </si>
  <si>
    <t>Portes internes</t>
  </si>
  <si>
    <t>Porte bois</t>
  </si>
  <si>
    <t>12.009</t>
  </si>
  <si>
    <t xml:space="preserve">Revetements de sols </t>
  </si>
  <si>
    <t>Linoleum</t>
  </si>
  <si>
    <t>Linoleum inkl. Klebstoff</t>
  </si>
  <si>
    <t>Linoleum [m2]</t>
  </si>
  <si>
    <t>11.014</t>
  </si>
  <si>
    <t>Klebstoff [kg]</t>
  </si>
  <si>
    <t>Parquet</t>
  </si>
  <si>
    <t>Parkett inkl. Klebstoff</t>
  </si>
  <si>
    <t>Parkett 2-Schicht werkversiegelt, 11 mm [m2]</t>
  </si>
  <si>
    <t>11.018</t>
  </si>
  <si>
    <t>Céramique</t>
  </si>
  <si>
    <t>Keramikplatten, Zementunterlagsboden, Trennschicht, 2cm Trittschall</t>
  </si>
  <si>
    <t>Keramikplatten 9mm [m2]</t>
  </si>
  <si>
    <t>11.008</t>
  </si>
  <si>
    <t>Klebemörtel [kg]</t>
  </si>
  <si>
    <t xml:space="preserve">Revêtement de sol fini mixte </t>
  </si>
  <si>
    <t>Mehrschichtparkett, Zementunterlagsboden, Trennschicht, 2cm Trittschall</t>
  </si>
  <si>
    <t>70% parquet</t>
  </si>
  <si>
    <t>30/ céramique</t>
  </si>
  <si>
    <t>Revetements de sols support</t>
  </si>
  <si>
    <t>Chape ciment</t>
  </si>
  <si>
    <t>Zementunterlagsboden 7cm [kg]</t>
  </si>
  <si>
    <t>04.006</t>
  </si>
  <si>
    <t>Chape anhydrite</t>
  </si>
  <si>
    <t>04.005</t>
  </si>
  <si>
    <t>Chape sèche</t>
  </si>
  <si>
    <t>Réglage béton celullaire</t>
  </si>
  <si>
    <t>02.006</t>
  </si>
  <si>
    <t>Chape sèche avec chauffage au sol</t>
  </si>
  <si>
    <t>Isolant acoustique</t>
  </si>
  <si>
    <t>EPS, acoustique</t>
  </si>
  <si>
    <t>EPS und Vlies</t>
  </si>
  <si>
    <t>PE-Vlies [kg]</t>
  </si>
  <si>
    <t>Laine de verre, acoustique</t>
  </si>
  <si>
    <t>Laine de verre und Vlies</t>
  </si>
  <si>
    <t>Glaswolle (50 kg/m3)</t>
  </si>
  <si>
    <t>Laine de roche, acoustique</t>
  </si>
  <si>
    <t>Laine de roche und Vlies</t>
  </si>
  <si>
    <t>Laine de roche (80kg/m3)</t>
  </si>
  <si>
    <t>Isolant sol</t>
  </si>
  <si>
    <t>Isolant contre terre, XPS</t>
  </si>
  <si>
    <t>Enduit en plâtre et en ciment</t>
  </si>
  <si>
    <t>Beidseitiger Putzaufbau und Wanddispersion</t>
  </si>
  <si>
    <t>Kalk-Zementgrundputz [kg]</t>
  </si>
  <si>
    <t>Deckputz (Weissputz) [kg]</t>
  </si>
  <si>
    <t>04.001</t>
  </si>
  <si>
    <t>Wanddispersion [m2]</t>
  </si>
  <si>
    <t>Enduit en plâtre et chaux</t>
  </si>
  <si>
    <t>Beidseitiger Spachtel und Wanddispersion</t>
  </si>
  <si>
    <t>Spachtel [kg]</t>
  </si>
  <si>
    <t>04.017</t>
  </si>
  <si>
    <t>Revetements Plafonds</t>
  </si>
  <si>
    <t>Putzaufbau und Wanddispersion</t>
  </si>
  <si>
    <t>Enduit en plâtre et chaux, avec sous construction</t>
  </si>
  <si>
    <t>Gipsbekleidung inkl. Spachtel, Anstrich und Unterkonstruktion</t>
  </si>
  <si>
    <t>Gipskartonplatte [kg]</t>
  </si>
  <si>
    <t>03.008</t>
  </si>
  <si>
    <t>Faux plafond d'installation en plâtre</t>
  </si>
  <si>
    <t>Gipswerkstoffe heruntergehängt, 15-20 cm als Installationszone, Unterkonstruktion aus Metall, gespachtelt und gestrichen</t>
  </si>
  <si>
    <t>Gipsfaserplatte [kg]</t>
  </si>
  <si>
    <t>Faux plafond d'installation en métal</t>
  </si>
  <si>
    <t>Metalldecke heruntergehängt, 15-20 cm als Installationszone, Unterkonstruktion aus Metall</t>
  </si>
  <si>
    <t>Stahlblech verzinkt [kg]</t>
  </si>
  <si>
    <t>Pulverbeschichten Stahl [m2]</t>
  </si>
  <si>
    <t>14.006</t>
  </si>
  <si>
    <t>Akustikvlies [kg]</t>
  </si>
  <si>
    <t>PE n.e. Herstellung [kWh/a]</t>
  </si>
  <si>
    <t>PE n.e. Entsorgung [kWh/a]</t>
  </si>
  <si>
    <t>THG Herstellung [kg CO2-eq./a]</t>
  </si>
  <si>
    <t>THG Entsorgung [kg CO2-eq./a]</t>
  </si>
  <si>
    <t>Installation électriques habitation</t>
  </si>
  <si>
    <t>Elektroanlage Wohnen</t>
  </si>
  <si>
    <t>Installation électrique</t>
  </si>
  <si>
    <t>34.001</t>
  </si>
  <si>
    <t>Installation électriques bureau</t>
  </si>
  <si>
    <t>Elektroanlage Büro</t>
  </si>
  <si>
    <t>34.002</t>
  </si>
  <si>
    <t>Solarstromanlage Flachdach</t>
  </si>
  <si>
    <t>34.026</t>
  </si>
  <si>
    <t>inkl.</t>
  </si>
  <si>
    <t>Plusieurs choix possibles</t>
  </si>
  <si>
    <t>Installations techniques de chauffage</t>
  </si>
  <si>
    <t>Production de chaleur 10 W/m2</t>
  </si>
  <si>
    <t>Wärmeerzeuger 10 W/m2</t>
  </si>
  <si>
    <t>Installation CVC</t>
  </si>
  <si>
    <t>31.001</t>
  </si>
  <si>
    <t>Production de chaleur 30 W/m2</t>
  </si>
  <si>
    <t>Wärmeerzeuger 30 W/m2</t>
  </si>
  <si>
    <t>31.002</t>
  </si>
  <si>
    <t>Production de chaleur 50 W/m2</t>
  </si>
  <si>
    <t>Wärmeerzeuger 50 W/m2</t>
  </si>
  <si>
    <t>31.003</t>
  </si>
  <si>
    <t>Distribution et émission de chaleur habitation</t>
  </si>
  <si>
    <t>Verteilung Wohnen, Fussbodenheizung</t>
  </si>
  <si>
    <t>31.021</t>
  </si>
  <si>
    <t>31.024</t>
  </si>
  <si>
    <t>Distribution et émission de chaleur bureau</t>
  </si>
  <si>
    <t>Verteilung Büro, Heizkörper</t>
  </si>
  <si>
    <t>31.022</t>
  </si>
  <si>
    <t>31.023</t>
  </si>
  <si>
    <t>31.016</t>
  </si>
  <si>
    <t>Flachkollektor für Warmwasser MFH</t>
  </si>
  <si>
    <t>31.009</t>
  </si>
  <si>
    <t>Abluftanlage Küche und Bad</t>
  </si>
  <si>
    <t>32.003</t>
  </si>
  <si>
    <t>Système de ventilation habitation</t>
  </si>
  <si>
    <t>Lüftungsanlage, spez. Luftmenge 1 m3/hm2 EBF</t>
  </si>
  <si>
    <t>32.011</t>
  </si>
  <si>
    <t>Système de ventilation bureau 2m3/hm2</t>
  </si>
  <si>
    <t>Lüftungsanlage, spez. Luftmenge 2 m3/hm2 EBF</t>
  </si>
  <si>
    <t>32.005</t>
  </si>
  <si>
    <t>Système de ventilation bureau 4m3/hm2</t>
  </si>
  <si>
    <t>Lüftungsanlage, spez. Luftmenge 4 m3/hm2 EBF</t>
  </si>
  <si>
    <t>32.006</t>
  </si>
  <si>
    <t>Installations techniques de distribution d'eau</t>
  </si>
  <si>
    <t>Installation sanitaire habitation</t>
  </si>
  <si>
    <t>Sanitäranlagen, Wohnen, inkl. Apparate und Leitungen</t>
  </si>
  <si>
    <t>33.003</t>
  </si>
  <si>
    <t>Installation sanitaire bureau</t>
  </si>
  <si>
    <t>Sanitäranlagen, Büro, einfach, inkl. Apparate und Leitungen</t>
  </si>
  <si>
    <t>33.001</t>
  </si>
  <si>
    <t>Installation sanitaire bureau, complexe</t>
  </si>
  <si>
    <t>Sanitäranlagen, Büro, aufwändig, inkl. Apparate und Leitungen</t>
  </si>
  <si>
    <t>33.002</t>
  </si>
  <si>
    <t>Ökobilanzdaten im Baubereich</t>
  </si>
  <si>
    <t>Données écobilans dans la construction</t>
  </si>
  <si>
    <t>Summe</t>
  </si>
  <si>
    <t>Total, renewable</t>
  </si>
  <si>
    <t>Energie st, erneuerbar</t>
  </si>
  <si>
    <t>Total, non-renewable</t>
  </si>
  <si>
    <t>Energie st, nicht erneuerbar</t>
  </si>
  <si>
    <t>IPCC GWP 100a, specific CF for aviation</t>
  </si>
  <si>
    <t>Biogener Kohlenstoff</t>
  </si>
  <si>
    <t>ID-Nummer</t>
  </si>
  <si>
    <t>UUID-Nummer</t>
  </si>
  <si>
    <t>BAUMATERIALIEN</t>
  </si>
  <si>
    <t>ID-Nummer
Entsorgung</t>
  </si>
  <si>
    <t>Entsorgung</t>
  </si>
  <si>
    <t>Rohdichte/
Flächen-masse</t>
  </si>
  <si>
    <t>Bezug
Référence</t>
  </si>
  <si>
    <r>
      <t>UBP'</t>
    </r>
    <r>
      <rPr>
        <b/>
        <sz val="9"/>
        <color rgb="FFFF0000"/>
        <rFont val="Arial"/>
        <family val="2"/>
      </rPr>
      <t>21</t>
    </r>
  </si>
  <si>
    <t>Primärenergie 
Energie primaire</t>
  </si>
  <si>
    <t>Treibhausgas-
emissionen</t>
  </si>
  <si>
    <t>Biogener Kohlenstoff
Carbone biogène</t>
  </si>
  <si>
    <t xml:space="preserve">MATÉRIAUX DE CONSTRUCTON
</t>
  </si>
  <si>
    <t>Élimination</t>
  </si>
  <si>
    <t>No d'identi-fication</t>
  </si>
  <si>
    <t>No d'identification
Déchets</t>
  </si>
  <si>
    <t>UBP'21</t>
  </si>
  <si>
    <t>gesamt</t>
  </si>
  <si>
    <t>erneuerbar</t>
  </si>
  <si>
    <t>nicht erneuerbar (Graue Energie)</t>
  </si>
  <si>
    <t>Emissions de gaz</t>
  </si>
  <si>
    <t>Masse volumique/  surface</t>
  </si>
  <si>
    <t>globale</t>
  </si>
  <si>
    <t>renouvelable</t>
  </si>
  <si>
    <t>non renouvelable (énergie grise)</t>
  </si>
  <si>
    <t>à effet de serre</t>
  </si>
  <si>
    <t>Hinweis: Anzeigen der herstellerspezifischen und herstellerregionenspezifischen Daten durch Anklicken der '+' am linken Rand.</t>
  </si>
  <si>
    <t>Herstellung</t>
  </si>
  <si>
    <t>Herstellung total</t>
  </si>
  <si>
    <t>Herstellung energetisch genutzt</t>
  </si>
  <si>
    <t>Herstellung stofflich genutzt</t>
  </si>
  <si>
    <t xml:space="preserve">Herstellung energetisch genutzt
</t>
  </si>
  <si>
    <t>im Produkt enthalten</t>
  </si>
  <si>
    <t>Remarque: Affichage des données spécifiques aux fabricants et aux régions de production en cliquant sur les '+' sur le bord gauche.</t>
  </si>
  <si>
    <r>
      <rPr>
        <sz val="11"/>
        <rFont val="Arial"/>
        <family val="2"/>
      </rPr>
      <t xml:space="preserve"> </t>
    </r>
  </si>
  <si>
    <t>Fabrication</t>
  </si>
  <si>
    <t>Total fabrication</t>
  </si>
  <si>
    <t>Contenu dans le produit</t>
  </si>
  <si>
    <t>UBP</t>
  </si>
  <si>
    <t>kWh oil-eq</t>
  </si>
  <si>
    <r>
      <t>kg CO</t>
    </r>
    <r>
      <rPr>
        <vertAlign val="subscript"/>
        <sz val="8"/>
        <rFont val="Arial"/>
        <family val="2"/>
      </rPr>
      <t>2</t>
    </r>
    <r>
      <rPr>
        <sz val="8"/>
        <rFont val="Arial"/>
        <family val="2"/>
      </rPr>
      <t>-eq</t>
    </r>
  </si>
  <si>
    <t>kg C</t>
  </si>
  <si>
    <t>Vorbereitungsarbeiten</t>
  </si>
  <si>
    <t>-</t>
  </si>
  <si>
    <t>Travaux de préparation</t>
  </si>
  <si>
    <t>00.001</t>
  </si>
  <si>
    <t>1C0034A0-2E93-4622-AB2F-B6C7BDC0A9A4</t>
  </si>
  <si>
    <t>Baugrubensicherung, Bohrpfahlwand, gespriesst</t>
  </si>
  <si>
    <t>91.074</t>
  </si>
  <si>
    <t>Entsorgung, Baugrubensicherung, Bohrpfahlwand, gespriesst</t>
  </si>
  <si>
    <r>
      <t>m</t>
    </r>
    <r>
      <rPr>
        <vertAlign val="superscript"/>
        <sz val="10"/>
        <rFont val="Arial"/>
        <family val="2"/>
      </rPr>
      <t>2</t>
    </r>
  </si>
  <si>
    <t>Blindage de fouille, paroi parisienne, étayé</t>
  </si>
  <si>
    <r>
      <rPr>
        <sz val="10"/>
        <rFont val="Arial"/>
        <family val="2"/>
      </rPr>
      <t>Élimination, blindage de fouille, paroi parisienne, étayé</t>
    </r>
  </si>
  <si>
    <t>00.002</t>
  </si>
  <si>
    <t>EE35298F-D4F1-4FBF-8F21-914AC601204F</t>
  </si>
  <si>
    <t>Baugrubensicherung, Bohrpfahlwand, unverankert</t>
  </si>
  <si>
    <t>91.075</t>
  </si>
  <si>
    <t>Entsorgung, Baugrubensicherung, Bohrpfahlwand, unverankert</t>
  </si>
  <si>
    <t>Blindage de fouille, paroi parisienne, flottant</t>
  </si>
  <si>
    <r>
      <rPr>
        <sz val="10"/>
        <rFont val="Arial"/>
        <family val="2"/>
      </rPr>
      <t>Élimination, blindage de fouille, paroi parisienne, flottant</t>
    </r>
  </si>
  <si>
    <t>00.003</t>
  </si>
  <si>
    <t>E6266550-4DA7-4AC1-9967-35D378CCA917</t>
  </si>
  <si>
    <t>Baugrubensicherung, Bohrpfahlwand, verankert</t>
  </si>
  <si>
    <t>91.076</t>
  </si>
  <si>
    <t>Entsorgung, Baugrubensicherung, Bohrpfahlwand, verankert</t>
  </si>
  <si>
    <t>Blindage de fouille, paroi parisienne, fixe</t>
  </si>
  <si>
    <r>
      <rPr>
        <sz val="10"/>
        <rFont val="Arial"/>
        <family val="2"/>
      </rPr>
      <t>Élimination, blindage de fouille, paroi parisienne, fixe</t>
    </r>
  </si>
  <si>
    <t>00.004</t>
  </si>
  <si>
    <t>B49F5C35-D26E-4EBD-9736-51937285D583</t>
  </si>
  <si>
    <t>Baugrubensicherung, Nagelwand</t>
  </si>
  <si>
    <t>91.077</t>
  </si>
  <si>
    <t>Entsorgung, Baugrubensicherung, Nagelwand</t>
  </si>
  <si>
    <t>Blindage de fouille, paroi clouée</t>
  </si>
  <si>
    <r>
      <rPr>
        <sz val="10"/>
        <rFont val="Arial"/>
        <family val="2"/>
      </rPr>
      <t>Élimination, blindage de fouille, paroi clouée</t>
    </r>
  </si>
  <si>
    <t>F0E2CA61-381A-42B0-9331-F3A3B092171A</t>
  </si>
  <si>
    <t>Baugrubensicherung, Rühlwand, auskragend</t>
  </si>
  <si>
    <t>91.078</t>
  </si>
  <si>
    <t>Entsorgung, Baugrubensicherung, Rühlwand, auskragend</t>
  </si>
  <si>
    <t>Blindage de fouille, paroi berlinoise, en porte-à-faux</t>
  </si>
  <si>
    <r>
      <rPr>
        <sz val="10"/>
        <rFont val="Arial"/>
        <family val="2"/>
      </rPr>
      <t>Élimination, blindage de fouille, paroi berlinoise, en porte-à-faux</t>
    </r>
  </si>
  <si>
    <t>FB6C7A79-69B2-4F61-A8D9-FAD72DBB5ACD</t>
  </si>
  <si>
    <t>Baugrubensicherung, Rühlwand, gespriesst</t>
  </si>
  <si>
    <t>91.079</t>
  </si>
  <si>
    <t>Entsorgung, Baugrubensicherung, Rühlwand, gespriesst</t>
  </si>
  <si>
    <t>Blindage de fouille, paroi berlinoise, étayé</t>
  </si>
  <si>
    <r>
      <rPr>
        <sz val="10"/>
        <rFont val="Arial"/>
        <family val="2"/>
      </rPr>
      <t>Élimination, blindage de fouille, paroi berlinoise, étayé</t>
    </r>
  </si>
  <si>
    <t>4E562FDF-A73E-4E7E-8C56-B7B5068A19EC</t>
  </si>
  <si>
    <t>Baugrubensicherung, Rühlwand, verankert</t>
  </si>
  <si>
    <t>91.080</t>
  </si>
  <si>
    <t>Entsorgung, Baugrubensicherung, Rühlwand, verankert</t>
  </si>
  <si>
    <t>Blindage de fouille, paroi berlinoise, fixe</t>
  </si>
  <si>
    <r>
      <rPr>
        <sz val="10"/>
        <rFont val="Arial"/>
        <family val="2"/>
      </rPr>
      <t>Élimination, blindage de fouille, paroi berlinoise, fixe</t>
    </r>
  </si>
  <si>
    <t>F4CB3C0F-DD23-4821-9DAC-7CBFB57B2AD1</t>
  </si>
  <si>
    <t>Baugrubensicherung, Schlitzwand, 400 mm</t>
  </si>
  <si>
    <t>91.081</t>
  </si>
  <si>
    <t>Entsorgung, Baugrubensicherung, Schlitzwand, 400mm</t>
  </si>
  <si>
    <t>Blindage de fouille, paroi moulée, 400 mm</t>
  </si>
  <si>
    <r>
      <rPr>
        <sz val="10"/>
        <rFont val="Arial"/>
        <family val="2"/>
      </rPr>
      <t>Élimination, blindage de fouille, paroi moulée, 400 mm</t>
    </r>
  </si>
  <si>
    <t>8F0DDE0F-57FE-4A5E-9A52-70803B0774C6</t>
  </si>
  <si>
    <t>Baugrubensicherung, Schlitzwand, 800 mm</t>
  </si>
  <si>
    <t>91.082</t>
  </si>
  <si>
    <t>Entsorgung, Baugrubensicherung, Schlitzwand, 800mm</t>
  </si>
  <si>
    <t>Blindage de fouille, paroi moulée, 800 mm</t>
  </si>
  <si>
    <r>
      <rPr>
        <sz val="10"/>
        <rFont val="Arial"/>
        <family val="2"/>
      </rPr>
      <t>Élimination, blindage de fouille, paroi moulée, 800 mm</t>
    </r>
  </si>
  <si>
    <t>650E9E9A-4709-4780-BA84-460617AE70A0</t>
  </si>
  <si>
    <t>Baugrubensicherung, Spundwand, auskragend</t>
  </si>
  <si>
    <t>91.083</t>
  </si>
  <si>
    <t>Entsorgung, Baugrubensicherung, Spundwand, auskragend</t>
  </si>
  <si>
    <t>Blindage de fouille, paroi de palplanche, en porte-à-faux</t>
  </si>
  <si>
    <r>
      <rPr>
        <sz val="10"/>
        <rFont val="Arial"/>
        <family val="2"/>
      </rPr>
      <t>Élimination, blindage de fouille, paroi de palplanche, en porte-à-faux</t>
    </r>
  </si>
  <si>
    <t>53A125FB-F71E-4A1A-9191-DE111E0DF8C0</t>
  </si>
  <si>
    <t>Baugrubensicherung, Spundwand, gespriesst</t>
  </si>
  <si>
    <t>91.084</t>
  </si>
  <si>
    <t>Entsorgung, Baugrubensicherung, Spundwand, gespriesst</t>
  </si>
  <si>
    <t>Blindage de fouille, paroi de palplanche, étayé</t>
  </si>
  <si>
    <r>
      <rPr>
        <sz val="10"/>
        <rFont val="Arial"/>
        <family val="2"/>
      </rPr>
      <t>Élimination, blindage de fouille, paroi de palplanche, étayé</t>
    </r>
  </si>
  <si>
    <t>9AA11301-7957-4139-BC09-9F57072238EC</t>
  </si>
  <si>
    <t>Baugrubensicherung, Spundwand, verankert</t>
  </si>
  <si>
    <t>91.085</t>
  </si>
  <si>
    <t>Entsorgung, Baugrubensicherung, Spundwand, verankert</t>
  </si>
  <si>
    <t>Blindage de fouille, paroi de palplanche, fixe</t>
  </si>
  <si>
    <r>
      <rPr>
        <sz val="10"/>
        <rFont val="Arial"/>
        <family val="2"/>
      </rPr>
      <t>Élimination, blindage de fouille, paroi de palplanche, fixe</t>
    </r>
  </si>
  <si>
    <t>B4015EF4-695C-47BF-9CD8-A8AF5CE3C0CB</t>
  </si>
  <si>
    <t>Tiefgründung, Mikrobohrpfahl</t>
  </si>
  <si>
    <t>91.086</t>
  </si>
  <si>
    <t>Entsorgung, Tiefgründung, Mikrobohrpfahl</t>
  </si>
  <si>
    <t xml:space="preserve">Fondations profondes, micropieu </t>
  </si>
  <si>
    <r>
      <rPr>
        <sz val="10"/>
        <rFont val="Arial"/>
        <family val="2"/>
      </rPr>
      <t>Élimination, fondations profondes, micropieu</t>
    </r>
  </si>
  <si>
    <t>00.014</t>
  </si>
  <si>
    <t>D6B4CD48-CFD0-45DD-8F39-F2877B8DE652</t>
  </si>
  <si>
    <t>Tiefgründung, Ortbetonbohrpfahl, 700 mm</t>
  </si>
  <si>
    <t>91.087</t>
  </si>
  <si>
    <t>Entsorgung, Tiefgründung, Ortbetonbohrpfahl, 700mm</t>
  </si>
  <si>
    <t>Fondations profondes, pieu coulé sur site, 700 mm</t>
  </si>
  <si>
    <r>
      <rPr>
        <sz val="10"/>
        <rFont val="Arial"/>
        <family val="2"/>
      </rPr>
      <t>Élimination, fondations profondes, pieu coulé sur site, 700 mm</t>
    </r>
  </si>
  <si>
    <t>EE463E2C-FAD4-4183-BBDF-A8E1FA456B32</t>
  </si>
  <si>
    <t>Tiefgründung, Ortbetonbohrpfahl, 900 mm</t>
  </si>
  <si>
    <t>91.088</t>
  </si>
  <si>
    <t>Entsorgung, Tiefgründung, Ortbetonbohrpfahl, 900mm</t>
  </si>
  <si>
    <t>Fondations profondes, pieu coulé sur site, 900 mm</t>
  </si>
  <si>
    <r>
      <rPr>
        <sz val="10"/>
        <rFont val="Arial"/>
        <family val="2"/>
      </rPr>
      <t>Élimination, fondations profondes, pieu coulé sur site, 900 mm</t>
    </r>
  </si>
  <si>
    <t>00.016</t>
  </si>
  <si>
    <t>DEED59B5-BB81-4104-9BAE-D78266DC439E</t>
  </si>
  <si>
    <t>Tiefgründung, Ortbetonbohrpfahl, 1200 mm</t>
  </si>
  <si>
    <t>91.089</t>
  </si>
  <si>
    <t>Entsorgung, Tiefgründung, Ortbetonbohrpfahl, 1200mm</t>
  </si>
  <si>
    <t>Fondations profondes, pieu coulé sur site, 1200 mm</t>
  </si>
  <si>
    <r>
      <rPr>
        <sz val="10"/>
        <rFont val="Arial"/>
        <family val="2"/>
      </rPr>
      <t>Élimination, fondations profondes, pieu coulé sur site, 1200 mm</t>
    </r>
  </si>
  <si>
    <t>00.017</t>
  </si>
  <si>
    <t>13247483-F3F9-449C-87D0-6B956AB03E50</t>
  </si>
  <si>
    <t>Tiefgründung, Ortbetonverdrängungspfahl 560/480 mm</t>
  </si>
  <si>
    <t>91.090</t>
  </si>
  <si>
    <t>Entsorgung, Tiefgründung, Ortbetonverdrängungspfahl 560/480mm</t>
  </si>
  <si>
    <t>Fondations profondes, pieux forés vissés, 560/480 mm</t>
  </si>
  <si>
    <r>
      <rPr>
        <sz val="10"/>
        <rFont val="Arial"/>
        <family val="2"/>
      </rPr>
      <t>Élimination, fondations profondes, pieux forés vissés, 560/480 mm</t>
    </r>
  </si>
  <si>
    <t>26ED1BEC-5B9B-4820-8481-A544231F80EE</t>
  </si>
  <si>
    <t>Tiefgründung, Ortbetonverdrängungspfahl 660/580 mm</t>
  </si>
  <si>
    <t>91.091</t>
  </si>
  <si>
    <t>Entsorgung, Tiefgründung, Ortbetonverdrängungspfahl 660/580mm</t>
  </si>
  <si>
    <t>Fondations profondes, pieux forés vissés, 660/580 mm</t>
  </si>
  <si>
    <r>
      <rPr>
        <sz val="10"/>
        <rFont val="Arial"/>
        <family val="2"/>
      </rPr>
      <t>Élimination, fondations profondes, pieux forés vissés, 660/580 mm</t>
    </r>
  </si>
  <si>
    <t>4EACB020-C81C-482A-8817-F3DE92E1F6D6</t>
  </si>
  <si>
    <t>Tiefgründung, Rüttelstopfsäule</t>
  </si>
  <si>
    <t>91.092</t>
  </si>
  <si>
    <t>Entsorgung, Tiefgründung, Rüttelstopfsäule</t>
  </si>
  <si>
    <t>Fondations profondes, colonnes ballastées</t>
  </si>
  <si>
    <r>
      <rPr>
        <sz val="10"/>
        <rFont val="Arial"/>
        <family val="2"/>
      </rPr>
      <t>Élimination, fondations profondes, colonnes ballastées</t>
    </r>
  </si>
  <si>
    <t>4FE800F8-909C-4102-9E3F-525A7AD89DCE</t>
  </si>
  <si>
    <t>Tiefgründung, Vorgefertigter Betonpfahl</t>
  </si>
  <si>
    <t>91.093</t>
  </si>
  <si>
    <t>Entsorgung, Tiefgründung, Vorgefertigter Betonpfahl</t>
  </si>
  <si>
    <t>Fondations profondes, pieu en béton préfabriqué</t>
  </si>
  <si>
    <r>
      <rPr>
        <sz val="10"/>
        <rFont val="Arial"/>
        <family val="2"/>
      </rPr>
      <t>Élimination, fondations profondes, pieu en béton préfabriqué</t>
    </r>
  </si>
  <si>
    <t>00.021</t>
  </si>
  <si>
    <t>85D42D88-963C-488B-B94E-C9FD0985CF27</t>
  </si>
  <si>
    <t>Wasserhaltung, Pumphöhe 2.5 m</t>
  </si>
  <si>
    <t>91.094</t>
  </si>
  <si>
    <t>Entsorgung, Wasserhaltung, Pumphöhe 2.5m</t>
  </si>
  <si>
    <r>
      <t>m</t>
    </r>
    <r>
      <rPr>
        <vertAlign val="superscript"/>
        <sz val="10"/>
        <rFont val="Arial"/>
        <family val="2"/>
      </rPr>
      <t>3</t>
    </r>
  </si>
  <si>
    <t>Épuisement des eaux, hauteur de refoulement, 2,5 m</t>
  </si>
  <si>
    <r>
      <rPr>
        <sz val="10"/>
        <rFont val="Arial"/>
        <family val="2"/>
      </rPr>
      <t>Élimination, épuisement des eaux, hauteur de refoulement, 2,5 m</t>
    </r>
  </si>
  <si>
    <t>00.022</t>
  </si>
  <si>
    <t>3058E4BA-F5B1-42AF-8905-745801085D2B</t>
  </si>
  <si>
    <t>Wasserhaltung, Pumphöhe 5 m</t>
  </si>
  <si>
    <t>91.095</t>
  </si>
  <si>
    <t>Entsorgung, Wasserhaltung, Pumphöhe 5m</t>
  </si>
  <si>
    <t>Épuisement des eaux, hauteur de refoulement, 5 m</t>
  </si>
  <si>
    <r>
      <rPr>
        <sz val="10"/>
        <rFont val="Arial"/>
        <family val="2"/>
      </rPr>
      <t>Élimination, épuisement des eaux, hauteur de refoulement, 5 m</t>
    </r>
  </si>
  <si>
    <t>00.023</t>
  </si>
  <si>
    <t>50066F27-9A16-4226-9BD9-6C53C61B330B</t>
  </si>
  <si>
    <t>Wasserhaltung, Pumphöhe 7.5 m</t>
  </si>
  <si>
    <t>91.096</t>
  </si>
  <si>
    <t>Entsorgung, Wasserhaltung, Pumphöhe 7.5m</t>
  </si>
  <si>
    <t>Épuisement des eaux, hauteur de refoulement, 7,5 m</t>
  </si>
  <si>
    <t>Élimination, épuisement des eaux, hauteur de refoulement, 7,5 m</t>
  </si>
  <si>
    <t>00.024</t>
  </si>
  <si>
    <t>AA3FB687-B165-4723-8F83-3389DE7747B7</t>
  </si>
  <si>
    <t>Wasserhaltung, Pumphöhe 10 m</t>
  </si>
  <si>
    <t>91.097</t>
  </si>
  <si>
    <t>Entsorgung, Wasserhaltung, Pumphöhe 10m</t>
  </si>
  <si>
    <t>Épuisement des eaux, hauteur de refoulement, 10 m</t>
  </si>
  <si>
    <r>
      <rPr>
        <sz val="10"/>
        <rFont val="Arial"/>
        <family val="2"/>
      </rPr>
      <t>Élimination, épuisement des eaux, hauteur de refoulement, 10 m</t>
    </r>
  </si>
  <si>
    <t>01</t>
  </si>
  <si>
    <t>Beton</t>
  </si>
  <si>
    <r>
      <t>kg/m</t>
    </r>
    <r>
      <rPr>
        <b/>
        <vertAlign val="superscript"/>
        <sz val="10"/>
        <rFont val="Arial"/>
        <family val="2"/>
      </rPr>
      <t>3</t>
    </r>
  </si>
  <si>
    <t>A05F4D90-D030-49B6-A08A-BAD5228E3552</t>
  </si>
  <si>
    <t>Magerbeton (ohne Bewehrung)</t>
  </si>
  <si>
    <t>91.061</t>
  </si>
  <si>
    <t>Entsorgung, Beton</t>
  </si>
  <si>
    <t>Béton maigre (sans armature)</t>
  </si>
  <si>
    <r>
      <rPr>
        <sz val="10"/>
        <color rgb="FFFF0000"/>
        <rFont val="Arial"/>
        <family val="2"/>
      </rPr>
      <t>Élimination, béton</t>
    </r>
  </si>
  <si>
    <t>E13EE05E-FD34-4FB5-A178-0FC4164A96F2</t>
  </si>
  <si>
    <t>Hochbaubeton (ohne Bewehrung)</t>
  </si>
  <si>
    <t>Béton pour bâtiment (sans armature)</t>
  </si>
  <si>
    <t>01.003</t>
  </si>
  <si>
    <t>6704A56E-25F3-4DD0-8890-EC2E2A0D4B9C</t>
  </si>
  <si>
    <t>Tiefbaubeton (ohne Bewehrung)</t>
  </si>
  <si>
    <t>Béton pour travaux de génie civil (sans armature)</t>
  </si>
  <si>
    <t>01.004</t>
  </si>
  <si>
    <t>4EBAA5FE-7F18-443E-A05A-08185A6165D0</t>
  </si>
  <si>
    <t>Bohrpfahlbeton (ohne Bewehrung)</t>
  </si>
  <si>
    <t>Béton pour pieux (sans armature)</t>
  </si>
  <si>
    <t>01.041</t>
  </si>
  <si>
    <t>3A51918F-AB60-4CE7-A771-A10C3266684A</t>
  </si>
  <si>
    <t>Betonfertigteil, hochfester Beton, ab Werk</t>
  </si>
  <si>
    <t>Élément préfabriqué en béton, béton à hautes performances, sortie d'usine</t>
  </si>
  <si>
    <t>F6DCDEFA-AFE6-44CB-8B68-3527ABFDC011</t>
  </si>
  <si>
    <t>Betonfertigteil, Normalbeton, ab Werk</t>
  </si>
  <si>
    <t>Élément préfabriqué en béton, béton normal, sortie d'usine</t>
  </si>
  <si>
    <t>01.043</t>
  </si>
  <si>
    <t>DD16B81F-E498-48D6-9754-A1E95558BFFE</t>
  </si>
  <si>
    <t>Hanfbeton</t>
  </si>
  <si>
    <t>91.073</t>
  </si>
  <si>
    <t>Entsorgungsmix, Hanfbeton</t>
  </si>
  <si>
    <t>Béton chaux-chanvre</t>
  </si>
  <si>
    <r>
      <rPr>
        <sz val="10"/>
        <rFont val="Arial"/>
        <family val="2"/>
      </rPr>
      <t>Élimination, béton chaux-chanvre</t>
    </r>
  </si>
  <si>
    <t>01.043.01</t>
  </si>
  <si>
    <t>b05c4b9b-b749-4f50-a92b-98713a494220</t>
  </si>
  <si>
    <t>Hanfbeton, ARBIO</t>
  </si>
  <si>
    <t>Béton chaux-chanvre, ARBIO</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</si>
  <si>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</si>
  <si>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</si>
  <si>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02</t>
  </si>
  <si>
    <t>Mauersteine</t>
  </si>
  <si>
    <t xml:space="preserve">Pierres de taille </t>
  </si>
  <si>
    <t>958BA083-03C8-4336-BFC5-0DB5B6BC1B43</t>
  </si>
  <si>
    <t>Backstein</t>
  </si>
  <si>
    <t>91.136</t>
  </si>
  <si>
    <t>Entsorgung, Baumaterialien, mineralisch, unspezifisch</t>
  </si>
  <si>
    <t>Brique en terre cuite</t>
  </si>
  <si>
    <r>
      <rPr>
        <sz val="10"/>
        <color rgb="FFFF0000"/>
        <rFont val="Arial"/>
        <family val="2"/>
      </rPr>
      <t>Élimination, matériaux de construction, minéral, non spécifique</t>
    </r>
  </si>
  <si>
    <t>02.001.01</t>
  </si>
  <si>
    <t>555E9A89-95DF-4C98-BC55-879B4C7E4BFE</t>
  </si>
  <si>
    <t>Backstein, perlitgefüllt, zzwancor</t>
  </si>
  <si>
    <t>Brique en terre cuite, remplie de perlite, zz wancor</t>
  </si>
  <si>
    <t>17BF48A3-72AD-4EBB-A2DE-3256129F7031</t>
  </si>
  <si>
    <t>Kalksandstein</t>
  </si>
  <si>
    <t>Grès</t>
  </si>
  <si>
    <t>02.002.01</t>
  </si>
  <si>
    <t>564C9F25-EE8A-4799-A049-6D26DF586F05</t>
  </si>
  <si>
    <t>Kalksandstein, FBB</t>
  </si>
  <si>
    <t>1200-2000</t>
  </si>
  <si>
    <t>Grès, FBB</t>
  </si>
  <si>
    <t>02.002.02</t>
  </si>
  <si>
    <t>adbada8c-108b-4869-a098-bc2cda5c5929</t>
  </si>
  <si>
    <t>Kalksandstein, Hunziker Kalksandstein AG</t>
  </si>
  <si>
    <t>Grès, Hunziker Kalksandstein AG</t>
  </si>
  <si>
    <t>02.003</t>
  </si>
  <si>
    <t>45766F6B-BC17-4725-B939-23AA76838736</t>
  </si>
  <si>
    <t>Leichtlehmstein</t>
  </si>
  <si>
    <t>Brique en argile légère</t>
  </si>
  <si>
    <t>02.004</t>
  </si>
  <si>
    <t>2DEEC4B0-D3FE-4124-A08A-0DD398A65220</t>
  </si>
  <si>
    <t>Leichtzementstein, Blähton</t>
  </si>
  <si>
    <t>Pierre en béton léger: argile expansée</t>
  </si>
  <si>
    <t>02.005</t>
  </si>
  <si>
    <t>27B5089E-6003-4920-991A-0BCC005B9434</t>
  </si>
  <si>
    <t>Leichtzementstein, Naturbims</t>
  </si>
  <si>
    <t>Pierre en béton léger: pierre ponce naturelle</t>
  </si>
  <si>
    <t>406B9ED4-C9C0-41E2-B945-7844C7313250</t>
  </si>
  <si>
    <t>Porenbetonstein</t>
  </si>
  <si>
    <t>Béton cellulaire</t>
  </si>
  <si>
    <t>02.007</t>
  </si>
  <si>
    <t>69524911-E277-4B29-827D-B8475E4D8C23</t>
  </si>
  <si>
    <t>Zementstein</t>
  </si>
  <si>
    <t>Plot de ciment</t>
  </si>
  <si>
    <t>02.007.01</t>
  </si>
  <si>
    <t>288A84C2-129A-431D-B135-7F7A3F9D0CBD</t>
  </si>
  <si>
    <t>Erdstein, aus gepresster Erde, Terrabloc</t>
  </si>
  <si>
    <t>91.177.01</t>
  </si>
  <si>
    <t>Entsorgung, Erdstein, aus gepresster Erde, Terrabloc</t>
  </si>
  <si>
    <t>Bloc de terre compressé, terrabloc</t>
  </si>
  <si>
    <r>
      <rPr>
        <sz val="10"/>
        <color rgb="FFFF0000"/>
        <rFont val="Arial"/>
        <family val="2"/>
      </rPr>
      <t>Élimination, pierre de terre, en terre comprimée, Terrabloc</t>
    </r>
  </si>
  <si>
    <t>02.007.02</t>
  </si>
  <si>
    <t>276ac558-09e7-4a6d-b6d8-5643d08bcf9b</t>
  </si>
  <si>
    <t>Hanfsteine, Schönthaler AG</t>
  </si>
  <si>
    <t>91.176.01</t>
  </si>
  <si>
    <t>Entsorgung, Hanfsteine, Schönthaler AG</t>
  </si>
  <si>
    <t>Pierres de chanvre, Schönthaler AG</t>
  </si>
  <si>
    <r>
      <rPr>
        <sz val="10"/>
        <color rgb="FFFF0000"/>
        <rFont val="Arial"/>
        <family val="2"/>
      </rPr>
      <t>Élimination, pierres de chanvre, Schönthaler AG</t>
    </r>
  </si>
  <si>
    <t>03</t>
  </si>
  <si>
    <t>Andere Massivbaustoffe</t>
  </si>
  <si>
    <t>Autres matériaux massifs</t>
  </si>
  <si>
    <t>03.021</t>
  </si>
  <si>
    <t>fc996053-6ce2-4be3-a99f-42fb01b5d1ce</t>
  </si>
  <si>
    <t>91.062</t>
  </si>
  <si>
    <t>Entsorgung, Kies und Sand</t>
  </si>
  <si>
    <r>
      <rPr>
        <sz val="10"/>
        <color rgb="FFFF0000"/>
        <rFont val="Arial"/>
        <family val="2"/>
      </rPr>
      <t>Élimination, gravier et sable</t>
    </r>
  </si>
  <si>
    <t>03.001</t>
  </si>
  <si>
    <t>D00BA00E-D63B-4109-ADC0-4D9A3367734D</t>
  </si>
  <si>
    <t>Betonziegel</t>
  </si>
  <si>
    <t>Tuiles en béton</t>
  </si>
  <si>
    <t>03.002</t>
  </si>
  <si>
    <t>8873B601-8644-4FF4-B2CF-042546B8500D</t>
  </si>
  <si>
    <t>Faserzement-Dachschindel</t>
  </si>
  <si>
    <t>91.137</t>
  </si>
  <si>
    <t>Entsorgung, Faserzement</t>
  </si>
  <si>
    <t>Bardeau de fibrociment</t>
  </si>
  <si>
    <r>
      <rPr>
        <sz val="10"/>
        <color rgb="FFFF0000"/>
        <rFont val="Arial"/>
        <family val="2"/>
      </rPr>
      <t>Élimination, ciment à fibres</t>
    </r>
  </si>
  <si>
    <t>EC993875-136D-4857-B06E-BB581EA9DA43</t>
  </si>
  <si>
    <t>Faserzementplatte gross</t>
  </si>
  <si>
    <t>Dalle de fibrociment, grande</t>
  </si>
  <si>
    <t>03.004</t>
  </si>
  <si>
    <t>08C9C771-82D9-4925-8E06-39A4367A8370</t>
  </si>
  <si>
    <t>Faserzement-Wellplatte</t>
  </si>
  <si>
    <t>Plaque ondulée en fibrociment</t>
  </si>
  <si>
    <t>9304338C-8D4A-4EE3-B1A2-43977ADA18A4</t>
  </si>
  <si>
    <t>Flachglas beschichtet</t>
  </si>
  <si>
    <t>91.032</t>
  </si>
  <si>
    <t>Entsorgung, Flachglas</t>
  </si>
  <si>
    <t>Verre plat, enduit</t>
  </si>
  <si>
    <r>
      <rPr>
        <sz val="10"/>
        <color rgb="FFFF0000"/>
        <rFont val="Arial"/>
        <family val="2"/>
      </rPr>
      <t>Élimination, verre plat</t>
    </r>
  </si>
  <si>
    <t>03.006</t>
  </si>
  <si>
    <t>8A03A7D4-FB51-48D0-BA86-9D13EE70A0D9</t>
  </si>
  <si>
    <t>Flachglas unbeschichtet</t>
  </si>
  <si>
    <t>Verre plat, non enduit</t>
  </si>
  <si>
    <t>45BEA46B-47E9-425F-926C-AEB31CB4A09D</t>
  </si>
  <si>
    <t>Gipsfaserplatte</t>
  </si>
  <si>
    <t>91.063</t>
  </si>
  <si>
    <t>Entsorgung, Gipsfaserplatte</t>
  </si>
  <si>
    <t>Plaque de plâtre armé de fibres</t>
  </si>
  <si>
    <r>
      <rPr>
        <sz val="10"/>
        <color rgb="FFFF0000"/>
        <rFont val="Arial"/>
        <family val="2"/>
      </rPr>
      <t>Élimination, plaque de plâtre armé de fibres</t>
    </r>
  </si>
  <si>
    <t>38A83C73-92BD-492B-B435-97332A84863E</t>
  </si>
  <si>
    <t>Gipskartonplatte</t>
  </si>
  <si>
    <t>91.064</t>
  </si>
  <si>
    <t>Entsorgung, Gipskartonplatte</t>
  </si>
  <si>
    <t>Plaque de plâtre cartonnée</t>
  </si>
  <si>
    <r>
      <rPr>
        <sz val="10"/>
        <color rgb="FFFF0000"/>
        <rFont val="Arial"/>
        <family val="2"/>
      </rPr>
      <t>Élimination, plaque de plâtre cartonné</t>
    </r>
  </si>
  <si>
    <t>03.016</t>
  </si>
  <si>
    <t>DB2B00A9-DBF6-CA2A-BAC1-9BCCE4E4846A</t>
  </si>
  <si>
    <t>Gips-Wandbauplatte / Vollgipsplatte</t>
  </si>
  <si>
    <t>91.069</t>
  </si>
  <si>
    <t>Entsorgung, Gips-Wandbauplatte / Vollgipsplatte</t>
  </si>
  <si>
    <t>Blocs de gypse / plâtre massif</t>
  </si>
  <si>
    <r>
      <rPr>
        <sz val="10"/>
        <color rgb="FFFF0000"/>
        <rFont val="Arial"/>
        <family val="2"/>
      </rPr>
      <t>Élimination, plaque de plâtre murale / plaque de plâtre massif</t>
    </r>
  </si>
  <si>
    <t>03.023</t>
  </si>
  <si>
    <t>a3868d35-8eaf-47d0-be53-2f7e988a1cce</t>
  </si>
  <si>
    <t>Glasfaserbeton</t>
  </si>
  <si>
    <t>Composite ciment-verre</t>
  </si>
  <si>
    <t>03.023.01</t>
  </si>
  <si>
    <t>3c956888-cdbf-42fa-8759-172ed1f7822d</t>
  </si>
  <si>
    <t>Glasfaserbeton Ecomur</t>
  </si>
  <si>
    <t>Composite ciment-verre Ecomur</t>
  </si>
  <si>
    <t>Élimination, béton</t>
  </si>
  <si>
    <t>B787C33A-9D88-414E-84DE-3E087E3639ED</t>
  </si>
  <si>
    <t>Hartsandsteinplatte</t>
  </si>
  <si>
    <t>Plaque de grès dur</t>
  </si>
  <si>
    <t>03.017</t>
  </si>
  <si>
    <t>8FE3FD69-2400-4DC4-933B-E91CDE601165</t>
  </si>
  <si>
    <t>Kalksteinplatte</t>
  </si>
  <si>
    <t>Plaque de calcaire dur</t>
  </si>
  <si>
    <t>03.010</t>
  </si>
  <si>
    <t>8B49329A-8573-47FC-8D1A-9F2E4640C4E6</t>
  </si>
  <si>
    <t>Keramik-/Steinzeugplatte</t>
  </si>
  <si>
    <t>Dalle de céramique/grès</t>
  </si>
  <si>
    <t>1300707C-F4F2-4FDC-AF3B-E31F5840F18E</t>
  </si>
  <si>
    <t>03.022</t>
  </si>
  <si>
    <t>805e0a9f-a660-4446-b7df-f9c3b43824c2</t>
  </si>
  <si>
    <t>1A0D933D-B136-4441-B98F-6E6FFD1DFDD8</t>
  </si>
  <si>
    <t>B6F7B71D-25CE-45F6-BA5A-1A786AC69E0B</t>
  </si>
  <si>
    <t>03.014</t>
  </si>
  <si>
    <t>A5A3BA1D-7F7F-4677-9E1C-3545B9DF79BA</t>
  </si>
  <si>
    <t>Sanitärkeramik</t>
  </si>
  <si>
    <t>Céramique sanitaire</t>
  </si>
  <si>
    <t>03.020</t>
  </si>
  <si>
    <t>D3586070-8058-4A67-BC89-68508822DA21</t>
  </si>
  <si>
    <t>Stampflehm</t>
  </si>
  <si>
    <t>Mur en pisé</t>
  </si>
  <si>
    <t>84E2D4F6-D61F-4EDF-9D13-7DA1543A7887</t>
  </si>
  <si>
    <t>Tonziegel</t>
  </si>
  <si>
    <t>91.138</t>
  </si>
  <si>
    <t>Entsorgung, Ziegel</t>
  </si>
  <si>
    <t>Tuile en terre cuite</t>
  </si>
  <si>
    <r>
      <rPr>
        <sz val="10"/>
        <color rgb="FFFF0000"/>
        <rFont val="Arial"/>
        <family val="2"/>
      </rPr>
      <t>Élimination des déchets, briques</t>
    </r>
  </si>
  <si>
    <t>04</t>
  </si>
  <si>
    <t>Mörtel und Putze</t>
  </si>
  <si>
    <t>Mortiers et enduits</t>
  </si>
  <si>
    <t>FA96A840-32DF-4C9A-935F-19037F653A62</t>
  </si>
  <si>
    <t>Baukleber/Einbettmörtel mineralisch</t>
  </si>
  <si>
    <t>91.139</t>
  </si>
  <si>
    <t>Entsorgung, Mörtel, Putze</t>
  </si>
  <si>
    <t xml:space="preserve">Colle de construction/mortier d'enrobage minéral(e) </t>
  </si>
  <si>
    <r>
      <rPr>
        <sz val="10"/>
        <color rgb="FFFF0000"/>
        <rFont val="Arial"/>
        <family val="2"/>
      </rPr>
      <t>Élimination, mortier, crépi</t>
    </r>
  </si>
  <si>
    <t>985B3DC3-846D-49CE-9067-8F50B4FE70D7</t>
  </si>
  <si>
    <t>Baukleber/Einbettmörtel mineralisch Leichtzuschlag</t>
  </si>
  <si>
    <t>Colle de construction/mortier d'enrobage minéral(e) avec agrégats légers</t>
  </si>
  <si>
    <t>04.002</t>
  </si>
  <si>
    <t>3A9DAB99-F63E-4DC7-9D95-2789F2A46143</t>
  </si>
  <si>
    <t>Baukleber/Einbettmörtel organisch</t>
  </si>
  <si>
    <t>Colle de construction/mortier d'enrobage biologique</t>
  </si>
  <si>
    <t>BE39AA2B-67C3-4306-AD5D-5261E43D632D</t>
  </si>
  <si>
    <t>Gips-Kalk-Putz</t>
  </si>
  <si>
    <t>76D9CFC6-6174-4644-829E-1020C95D5322</t>
  </si>
  <si>
    <t>Gips-/Weissputz</t>
  </si>
  <si>
    <t>Enduit minéral</t>
  </si>
  <si>
    <t>04.003</t>
  </si>
  <si>
    <t>D4AB5F70-61BE-4668-8A2C-FF1C755A1728</t>
  </si>
  <si>
    <t>Kunststoffputz (Dispersionsputz)</t>
  </si>
  <si>
    <t>Crépi synthétique (enduit de dispersion)</t>
  </si>
  <si>
    <t>9BD4C9E4-4499-4215-9215-2EF12370ACE6</t>
  </si>
  <si>
    <t>Kalk-Zement/Zement-Kalk-Putz</t>
  </si>
  <si>
    <t>04.004</t>
  </si>
  <si>
    <t>412F0DEF-2F16-4D81-95CF-2A7394086B28</t>
  </si>
  <si>
    <t>Lehmputz</t>
  </si>
  <si>
    <t>Enduit de glaise</t>
  </si>
  <si>
    <t>04.015</t>
  </si>
  <si>
    <t>A8D1862B-6EEC-48B6-83BC-8EFACE342122</t>
  </si>
  <si>
    <t>Leichtputz mineralisch</t>
  </si>
  <si>
    <t>Enduit de glaise minérale</t>
  </si>
  <si>
    <t>04.011</t>
  </si>
  <si>
    <t>868CB13D-7EF0-454B-B4FD-AE2B04538206</t>
  </si>
  <si>
    <t>Silikatputz (Dispersionssilikatputz)</t>
  </si>
  <si>
    <t>Crépi silicate (silicate de dispersion)</t>
  </si>
  <si>
    <t>04.012</t>
  </si>
  <si>
    <t>324E5DE0-FEB1-49C3-9188-F1AA0E119514</t>
  </si>
  <si>
    <t>Silikonharzputz</t>
  </si>
  <si>
    <t>Crépi à la résine de silicone</t>
  </si>
  <si>
    <t>04.016</t>
  </si>
  <si>
    <t>333331BA-98CA-49BD-887A-D65AA4D5B2C4</t>
  </si>
  <si>
    <t>Sumpfkalkputz</t>
  </si>
  <si>
    <t>Enduit à la chaux grasse</t>
  </si>
  <si>
    <t>3B956811-9D40-452C-BAC2-FBA122630C43</t>
  </si>
  <si>
    <t>Unterlagsboden Anhydrit, 60 mm</t>
  </si>
  <si>
    <t>Chape d'anhydrite, 60 mm</t>
  </si>
  <si>
    <t>B0F22D3F-709D-408F-9ACA-1533FA4C7F45</t>
  </si>
  <si>
    <t>Unterlagsboden Zement, 85 mm</t>
  </si>
  <si>
    <t>Chape de ciment, 85 mm</t>
  </si>
  <si>
    <t>04.007</t>
  </si>
  <si>
    <t>E68F96C7-984A-47B5-B17C-B2806BD1CF1C</t>
  </si>
  <si>
    <t>Wärmedämmputz EPS</t>
  </si>
  <si>
    <t>Enduit d'isolation thermique EPS</t>
  </si>
  <si>
    <t>04.014</t>
  </si>
  <si>
    <t>223F00DA-C2D9-4971-879F-F391648A0155</t>
  </si>
  <si>
    <t>Weisszementputz</t>
  </si>
  <si>
    <t>Crépi en ciment</t>
  </si>
  <si>
    <t>382D5231-E4CF-42D6-B935-D41BA653E3EE</t>
  </si>
  <si>
    <t>Zementputz</t>
  </si>
  <si>
    <t>Enduit de ciment</t>
  </si>
  <si>
    <t>05</t>
  </si>
  <si>
    <t>Fenster, Sonnenschutz, Fassadenverkleidungen</t>
  </si>
  <si>
    <r>
      <t>kg/m</t>
    </r>
    <r>
      <rPr>
        <b/>
        <vertAlign val="superscript"/>
        <sz val="10"/>
        <rFont val="Arial"/>
        <family val="2"/>
      </rPr>
      <t>2</t>
    </r>
  </si>
  <si>
    <t>Fenêtre et façades verre/métal</t>
  </si>
  <si>
    <t>297C8AF9-6B6F-47A2-9F51-A0D37EFCB892</t>
  </si>
  <si>
    <r>
      <t xml:space="preserve">Fassade, Pfosten-Riegel, Alu/Glas </t>
    </r>
    <r>
      <rPr>
        <vertAlign val="superscript"/>
        <sz val="10"/>
        <rFont val="Arial"/>
        <family val="2"/>
      </rPr>
      <t>1</t>
    </r>
  </si>
  <si>
    <t>91.135</t>
  </si>
  <si>
    <t>Entsorgung, Fassade, Pfosten-Riegel, Alu/Glas</t>
  </si>
  <si>
    <t>Façade, à montants et traverses, Alu/Glas</t>
  </si>
  <si>
    <r>
      <rPr>
        <sz val="10"/>
        <color rgb="FFFF0000"/>
        <rFont val="Arial"/>
        <family val="2"/>
      </rPr>
      <t>Élimination, façade, à montants et traverses, aluminium/verre</t>
    </r>
  </si>
  <si>
    <t>5905B6AD-722F-40CB-9877-57D366B4ABF4</t>
  </si>
  <si>
    <t>91.103</t>
  </si>
  <si>
    <t>Entsorgung, Fassadenplatte, Aluverbund, 4 mm</t>
  </si>
  <si>
    <t>Panneau de façade, en aluminium, 4 mm</t>
  </si>
  <si>
    <r>
      <rPr>
        <sz val="10"/>
        <color rgb="FFFF0000"/>
        <rFont val="Arial"/>
        <family val="2"/>
      </rPr>
      <t>Élimination, panneau de façade, en aluminium, 4 mm</t>
    </r>
  </si>
  <si>
    <t>05.028</t>
  </si>
  <si>
    <t>d3cdab2e-988a-4dcf-a9a9-00bda1cfe0ee</t>
  </si>
  <si>
    <t>Fassadenplatte, Glasfaserbeton</t>
  </si>
  <si>
    <t>Élément de façade, composite ciment-verre</t>
  </si>
  <si>
    <t>05.028.01</t>
  </si>
  <si>
    <t>33d095f4-9d1b-4bbb-bd49-2bc99388facd</t>
  </si>
  <si>
    <t>Fassadenplatte, Glasfaserbeton Ecomur, 15mm</t>
  </si>
  <si>
    <r>
      <t>m</t>
    </r>
    <r>
      <rPr>
        <vertAlign val="superscript"/>
        <sz val="10"/>
        <color rgb="FFFF0000"/>
        <rFont val="Arial"/>
        <family val="2"/>
      </rPr>
      <t>2</t>
    </r>
  </si>
  <si>
    <t>Élément de façade, composite ciment-verre Ecomur, 15mm</t>
  </si>
  <si>
    <t>05.028.02</t>
  </si>
  <si>
    <t>e87386b1-baac-4021-8cdb-e9588c9cfeaa</t>
  </si>
  <si>
    <t>Fassadenplatte, Glasfaserbeton Ecomur, 18mm</t>
  </si>
  <si>
    <t>Élément de façade, composite ciment-verre Ecomur, 18mm</t>
  </si>
  <si>
    <t>05.023</t>
  </si>
  <si>
    <t>4722E1EF-E1A5-470C-8310-F4DC0300F7F3</t>
  </si>
  <si>
    <t>Fassadenplatte, Hochdrucklaminatplatte (HPL), 8.1 mm</t>
  </si>
  <si>
    <t>91.106</t>
  </si>
  <si>
    <t>Entsorgung, HPL-Fassadenplatten</t>
  </si>
  <si>
    <t>Panneau de façade, stratifié (HPL), 8,1 mm</t>
  </si>
  <si>
    <r>
      <rPr>
        <sz val="10"/>
        <color rgb="FFFF0000"/>
        <rFont val="Arial"/>
        <family val="2"/>
      </rPr>
      <t>Élimination, panneaux de façade stratifiés</t>
    </r>
  </si>
  <si>
    <t>05.025</t>
  </si>
  <si>
    <t>D4B0ECEB-1E00-4A60-A09E-D631A07E2EE3</t>
  </si>
  <si>
    <t>Fassadenplatte, Kalkstein, 30 mm</t>
  </si>
  <si>
    <t>91.140</t>
  </si>
  <si>
    <t>Entsorgung, Fassade, mineralisch, Kalkstein</t>
  </si>
  <si>
    <t>Panneau de façade, calcaire, 30 mm</t>
  </si>
  <si>
    <r>
      <rPr>
        <sz val="10"/>
        <color rgb="FFFF0000"/>
        <rFont val="Arial"/>
        <family val="2"/>
      </rPr>
      <t>Élimination, façade, minéral, calcaire</t>
    </r>
  </si>
  <si>
    <t>05.024</t>
  </si>
  <si>
    <t>4BA8E23B-3562-494B-87B2-9D891B313B9B</t>
  </si>
  <si>
    <t>Fassadenplatte, Kunststoff glasfaserverstärkt (GFK), 1.6 mm</t>
  </si>
  <si>
    <t>91.071</t>
  </si>
  <si>
    <t>Entsorgung, GFK-Fassadenplatte</t>
  </si>
  <si>
    <t>Panneau de façade, plastique à renfort de verre (PRV), 1,6 mm</t>
  </si>
  <si>
    <r>
      <rPr>
        <sz val="10"/>
        <color rgb="FFFF0000"/>
        <rFont val="Arial"/>
        <family val="2"/>
      </rPr>
      <t>Élimination, panneau de façade renforcé de fibre de verre (PRV)</t>
    </r>
  </si>
  <si>
    <t>05.004</t>
  </si>
  <si>
    <t>9F6858EE-648D-43AA-A72E-46D8A0B25E11</t>
  </si>
  <si>
    <r>
      <t xml:space="preserve">Fensterrahmen Aluminium </t>
    </r>
    <r>
      <rPr>
        <vertAlign val="superscript"/>
        <sz val="10"/>
        <rFont val="Arial"/>
        <family val="2"/>
      </rPr>
      <t>2,5</t>
    </r>
  </si>
  <si>
    <t>91.105</t>
  </si>
  <si>
    <t>Entsorgung, Gebäude, Fensterrahmen, Aluminium</t>
  </si>
  <si>
    <t>Cadre de fenêtre en aluminium</t>
  </si>
  <si>
    <r>
      <rPr>
        <sz val="10"/>
        <color rgb="FFFF0000"/>
        <rFont val="Arial"/>
        <family val="2"/>
      </rPr>
      <t>Élimination, bâtiment, cadre de fenêtre en aluminium</t>
    </r>
  </si>
  <si>
    <t>05.004.01</t>
  </si>
  <si>
    <t>A4A06F21-D291-4225-99D1-EAEAAD11A2A3</t>
  </si>
  <si>
    <r>
      <t xml:space="preserve">Fensterrahmen Aluminium, WICLINE 75evo, hergestellt mit Hydro CIRCAL 75R </t>
    </r>
    <r>
      <rPr>
        <vertAlign val="superscript"/>
        <sz val="10"/>
        <color rgb="FFFF0000"/>
        <rFont val="Arial"/>
        <family val="2"/>
      </rPr>
      <t>2,5</t>
    </r>
  </si>
  <si>
    <t>91.105.01</t>
  </si>
  <si>
    <t>Entsorgung, Gebäude, Fensterrahmen Aluminium, WICLINE 75evo, hergestellt mit Hydro CIRCAL 75R</t>
  </si>
  <si>
    <r>
      <t xml:space="preserve">Cadre de fenêtre en aluminium, WICLINE 75evo, fabriqué avec Hydro CIRCAL 75R </t>
    </r>
    <r>
      <rPr>
        <vertAlign val="superscript"/>
        <sz val="10"/>
        <color rgb="FFFF0000"/>
        <rFont val="Arial"/>
        <family val="2"/>
      </rPr>
      <t>2</t>
    </r>
  </si>
  <si>
    <r>
      <rPr>
        <sz val="10"/>
        <color rgb="FFFF0000"/>
        <rFont val="Arial"/>
        <family val="2"/>
      </rPr>
      <t>Élimination, bâtiment, cadre de fenêtre en aluminium, WICLINE 75evo, fabriqué avec Hydro CIRCAL 75R</t>
    </r>
  </si>
  <si>
    <t>05.005</t>
  </si>
  <si>
    <t>E65D5066-3C25-440A-A67B-44AACF067AD5</t>
  </si>
  <si>
    <r>
      <t xml:space="preserve">Fensterrahmen Holz </t>
    </r>
    <r>
      <rPr>
        <vertAlign val="superscript"/>
        <sz val="10"/>
        <rFont val="Arial"/>
        <family val="2"/>
      </rPr>
      <t>2,6</t>
    </r>
  </si>
  <si>
    <t>91.029</t>
  </si>
  <si>
    <t>Entsorgung, Gebäude, Fensterrahmen, Holz</t>
  </si>
  <si>
    <t>Cadre de fenêtre en bois</t>
  </si>
  <si>
    <r>
      <rPr>
        <sz val="10"/>
        <color rgb="FFFF0000"/>
        <rFont val="Arial"/>
        <family val="2"/>
      </rPr>
      <t>Élimination, bâtiment, cadre de fenêtre bois</t>
    </r>
  </si>
  <si>
    <t>05.005.01</t>
  </si>
  <si>
    <t>7fc677ab-2fc6-41f9-a1a0-7524d56ea307</t>
  </si>
  <si>
    <r>
      <t xml:space="preserve">Fensterrahmen Holz, Saphir integral 67/55, G. Baumgartner AG </t>
    </r>
    <r>
      <rPr>
        <vertAlign val="superscript"/>
        <sz val="10"/>
        <color rgb="FFFF0000"/>
        <rFont val="Arial"/>
        <family val="2"/>
      </rPr>
      <t>2,6</t>
    </r>
  </si>
  <si>
    <t>91.029.01</t>
  </si>
  <si>
    <t>Entsorgung, Gebäude, Fensterrahmen, Holz, Saphir integral 67/55, G. Baumgartner AG</t>
  </si>
  <si>
    <r>
      <t xml:space="preserve">Cadre de fenêtre en bois, Saphir intégral 67/55, G. Baumgartner AG </t>
    </r>
    <r>
      <rPr>
        <vertAlign val="superscript"/>
        <sz val="10"/>
        <color rgb="FFFF0000"/>
        <rFont val="Arial"/>
        <family val="2"/>
      </rPr>
      <t>2</t>
    </r>
  </si>
  <si>
    <r>
      <rPr>
        <sz val="10"/>
        <color rgb="FFFF0000"/>
        <rFont val="Arial"/>
        <family val="2"/>
      </rPr>
      <t>Élimination, bâtiment, cadre de fenêtre bois, saphir intégral 67/55, G. Baumgartner SA</t>
    </r>
  </si>
  <si>
    <t>5D3F1239-2A50-4539-8DEF-341218D0F70A</t>
  </si>
  <si>
    <r>
      <t xml:space="preserve">Fensterrahmen Holz-Metall </t>
    </r>
    <r>
      <rPr>
        <vertAlign val="superscript"/>
        <sz val="10"/>
        <color rgb="FFFF0000"/>
        <rFont val="Arial"/>
        <family val="2"/>
      </rPr>
      <t>2,6</t>
    </r>
  </si>
  <si>
    <t>91.030</t>
  </si>
  <si>
    <t>Entsorgung, Gebäude, Fensterrahmen, Holz-Metall</t>
  </si>
  <si>
    <r>
      <rPr>
        <sz val="10"/>
        <color rgb="FFFF0000"/>
        <rFont val="Arial"/>
        <family val="2"/>
      </rPr>
      <t>Élimination, bâtiment, cadre de fenêtre bois-métal</t>
    </r>
  </si>
  <si>
    <t>05.006.01</t>
  </si>
  <si>
    <t>11d36a08-6653-4405-bb9e-2dbbd8e71d8e</t>
  </si>
  <si>
    <r>
      <t xml:space="preserve">Fensterrahmen Holz-Metall, Saphir integral 55/55, G. Baumgartner AG </t>
    </r>
    <r>
      <rPr>
        <vertAlign val="superscript"/>
        <sz val="10"/>
        <color rgb="FFFF0000"/>
        <rFont val="Arial"/>
        <family val="2"/>
      </rPr>
      <t>2,6</t>
    </r>
  </si>
  <si>
    <t>91.030.01</t>
  </si>
  <si>
    <t>Entsorgung, Gebäude, Fensterrahmen, Holz-Metall, Saphir integral 55/55, G. Baumgartner AG</t>
  </si>
  <si>
    <r>
      <t xml:space="preserve">Cadre de fenêtre bois-métal, Saphir intégral 55/55, G. Baumgartner AG </t>
    </r>
    <r>
      <rPr>
        <vertAlign val="superscript"/>
        <sz val="10"/>
        <color rgb="FFFF0000"/>
        <rFont val="Arial"/>
        <family val="2"/>
      </rPr>
      <t>2</t>
    </r>
  </si>
  <si>
    <r>
      <rPr>
        <sz val="10"/>
        <color rgb="FFFF0000"/>
        <rFont val="Arial"/>
        <family val="2"/>
      </rPr>
      <t>Élimination, bâtiment, cadre de fenêtre bois, saphir intégral 55/55, G. Baumgartner SA</t>
    </r>
  </si>
  <si>
    <t>05.007</t>
  </si>
  <si>
    <t>84E9C627-DD03-4A9F-AB74-C19202145195</t>
  </si>
  <si>
    <r>
      <t xml:space="preserve">Fensterrahmen Kunststoff/PVC </t>
    </r>
    <r>
      <rPr>
        <vertAlign val="superscript"/>
        <sz val="10"/>
        <rFont val="Arial"/>
        <family val="2"/>
      </rPr>
      <t>2,6</t>
    </r>
  </si>
  <si>
    <t>91.031</t>
  </si>
  <si>
    <t>Entsorgung, Gebäude, Fensterrahmen, Plastik</t>
  </si>
  <si>
    <r>
      <t xml:space="preserve">Cadre en matière synthétique (PVC) </t>
    </r>
    <r>
      <rPr>
        <vertAlign val="superscript"/>
        <sz val="10"/>
        <color rgb="FFFF0000"/>
        <rFont val="Arial"/>
        <family val="2"/>
      </rPr>
      <t>2</t>
    </r>
  </si>
  <si>
    <r>
      <rPr>
        <sz val="10"/>
        <color rgb="FFFF0000"/>
        <rFont val="Arial"/>
        <family val="2"/>
      </rPr>
      <t>Élimination, bâtiment, cadre de fenêtre plastique</t>
    </r>
  </si>
  <si>
    <t>05.001</t>
  </si>
  <si>
    <t>F9C5864D-7143-472A-A4CB-7ED4DC0B447F</t>
  </si>
  <si>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</si>
  <si>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t>91.042</t>
  </si>
  <si>
    <r>
      <t>Entsorgung, Isolierverglasung 2-fach, Float/ESG, Ug-Wert 1.1 W/m</t>
    </r>
    <r>
      <rPr>
        <vertAlign val="superscript"/>
        <sz val="10"/>
        <color rgb="FFFF0000"/>
        <rFont val="Arial"/>
        <family val="2"/>
      </rPr>
      <t>2</t>
    </r>
    <r>
      <rPr>
        <sz val="10"/>
        <color rgb="FFFF0000"/>
        <rFont val="Arial"/>
        <family val="2"/>
      </rPr>
      <t>K, Dicke 24 mm</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</si>
  <si>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</si>
  <si>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</si>
  <si>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t>05.009</t>
  </si>
  <si>
    <t>7785FAA6-5F71-47CC-8753-2694318F593D</t>
  </si>
  <si>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</si>
  <si>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t>91.107</t>
  </si>
  <si>
    <r>
      <t>Entsorgung, Isolierverglasung 2-fach, Ug-Wert 1.1 W/m</t>
    </r>
    <r>
      <rPr>
        <vertAlign val="superscript"/>
        <sz val="10"/>
        <color rgb="FFFF0000"/>
        <rFont val="Arial"/>
        <family val="2"/>
      </rPr>
      <t>2</t>
    </r>
    <r>
      <rPr>
        <sz val="10"/>
        <color rgb="FFFF0000"/>
        <rFont val="Arial"/>
        <family val="2"/>
      </rPr>
      <t>K, Dicke 18 mm</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</si>
  <si>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</si>
  <si>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</si>
  <si>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t>05.010</t>
  </si>
  <si>
    <t>235E295B-72C0-461F-8320-6D07BA2F7021</t>
  </si>
  <si>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</si>
  <si>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</si>
  <si>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t>05.002</t>
  </si>
  <si>
    <t>7D185B01-5484-4A8B-A8F5-73CB990EE890</t>
  </si>
  <si>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</si>
  <si>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t>91.043</t>
  </si>
  <si>
    <r>
      <t>Entsorgung, Isolierverglasung 2-fach, Float/ESG/VSG, Ug-Wert 1.1 W/m</t>
    </r>
    <r>
      <rPr>
        <vertAlign val="superscript"/>
        <sz val="10"/>
        <color rgb="FFFF0000"/>
        <rFont val="Arial"/>
        <family val="2"/>
      </rPr>
      <t>2</t>
    </r>
    <r>
      <rPr>
        <sz val="10"/>
        <color rgb="FFFF0000"/>
        <rFont val="Arial"/>
        <family val="2"/>
      </rPr>
      <t>K</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</si>
  <si>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</si>
  <si>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</si>
  <si>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t>05.011</t>
  </si>
  <si>
    <t>C52C5B31-C765-4594-852A-0894882A8ED1</t>
  </si>
  <si>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</si>
  <si>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</si>
  <si>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t>05.003</t>
  </si>
  <si>
    <t>43101D99-1D7B-4082-B62D-BF509227B57E</t>
  </si>
  <si>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</si>
  <si>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t>91.044</t>
  </si>
  <si>
    <r>
      <t>Entsorgung, Isolierverglasung 3-fach, Ug-Wert 0.5 W/m</t>
    </r>
    <r>
      <rPr>
        <vertAlign val="superscript"/>
        <sz val="10"/>
        <color rgb="FFFF0000"/>
        <rFont val="Arial"/>
        <family val="2"/>
      </rPr>
      <t>2</t>
    </r>
    <r>
      <rPr>
        <sz val="10"/>
        <color rgb="FFFF0000"/>
        <rFont val="Arial"/>
        <family val="2"/>
      </rPr>
      <t>K, Dicke 36 mm</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</si>
  <si>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</si>
  <si>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</si>
  <si>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t>8C429A3C-65E9-423C-BB08-626C4639C97B</t>
  </si>
  <si>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</si>
  <si>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t>91.110</t>
  </si>
  <si>
    <r>
      <t>Entsorgung, Isolierverglasung 3-fach, Ug-Wert 0.6 W/m</t>
    </r>
    <r>
      <rPr>
        <vertAlign val="superscript"/>
        <sz val="10"/>
        <color rgb="FFFF0000"/>
        <rFont val="Arial"/>
        <family val="2"/>
      </rPr>
      <t>2</t>
    </r>
    <r>
      <rPr>
        <sz val="10"/>
        <color rgb="FFFF0000"/>
        <rFont val="Arial"/>
        <family val="2"/>
      </rPr>
      <t>K, Dicke 40 mm</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</si>
  <si>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</si>
  <si>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</si>
  <si>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t>05.013</t>
  </si>
  <si>
    <t>D6D60F63-0AC6-4F65-A665-23893EFE55EE</t>
  </si>
  <si>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</si>
  <si>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</si>
  <si>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t>05.014</t>
  </si>
  <si>
    <t>9D1F01AD-FA63-4F98-AFF3-157F4000D8B3</t>
  </si>
  <si>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</si>
  <si>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</si>
  <si>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t>05.015</t>
  </si>
  <si>
    <t>14DFC8C9-C915-43A2-AE52-7B78F5948269</t>
  </si>
  <si>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</si>
  <si>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t>91.113</t>
  </si>
  <si>
    <r>
      <t>Entsorgung, Isolierverglasung 3-fach, Float/ESG/VSG, Ug-Wert 0.6 W/m</t>
    </r>
    <r>
      <rPr>
        <vertAlign val="superscript"/>
        <sz val="10"/>
        <color rgb="FFFF0000"/>
        <rFont val="Arial"/>
        <family val="2"/>
      </rPr>
      <t>2</t>
    </r>
    <r>
      <rPr>
        <sz val="10"/>
        <color rgb="FFFF0000"/>
        <rFont val="Arial"/>
        <family val="2"/>
      </rPr>
      <t>K</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</si>
  <si>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</si>
  <si>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</si>
  <si>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t>05.016</t>
  </si>
  <si>
    <t>C17242EF-5C5D-430E-A900-4449A1BC8082</t>
  </si>
  <si>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</si>
  <si>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</si>
  <si>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t>05.020</t>
  </si>
  <si>
    <t>8A64F51B-96D1-418F-8698-65A2DFC2F6E0</t>
  </si>
  <si>
    <t>Putzträgerplatte kunstharzgebunden 13 mm</t>
  </si>
  <si>
    <t>91.116</t>
  </si>
  <si>
    <t>Entsorgung, Putzträgerplatte kunstharzgebunden</t>
  </si>
  <si>
    <t>Panneau de support de crépis, liant en résine synthétique, 13 mm</t>
  </si>
  <si>
    <r>
      <rPr>
        <sz val="10"/>
        <color rgb="FFFF0000"/>
        <rFont val="Arial"/>
        <family val="2"/>
      </rPr>
      <t>Élimination, panneau de support de crépis, liant en résine synthétique</t>
    </r>
  </si>
  <si>
    <t>05.021</t>
  </si>
  <si>
    <t>A2E56139-B17E-48D2-AA28-1FBBBDE730B0</t>
  </si>
  <si>
    <t>Putzträgerplatte mineralisch gebunden 12.5 mm</t>
  </si>
  <si>
    <t>91.117</t>
  </si>
  <si>
    <t>Entsorgung, Putzträgerplatte mineralisch gebunden</t>
  </si>
  <si>
    <t>Panneau de support de crépis, liant en matière minérale, 12,5 mm</t>
  </si>
  <si>
    <r>
      <rPr>
        <sz val="10"/>
        <color rgb="FFFF0000"/>
        <rFont val="Arial"/>
        <family val="2"/>
      </rPr>
      <t>Élimination, panneau de support de crépis, liant en matière minérale</t>
    </r>
  </si>
  <si>
    <t>05.026</t>
  </si>
  <si>
    <t>bbb96c85-8f12-4104-b774-2203f3d542e6</t>
  </si>
  <si>
    <t>Rahmenverbreiterung, PVC</t>
  </si>
  <si>
    <t>91.170</t>
  </si>
  <si>
    <t>Entsorgung, Rahmenverbreiterung, PVC</t>
  </si>
  <si>
    <t>Élargissement du cadre, PVC</t>
  </si>
  <si>
    <r>
      <rPr>
        <sz val="10"/>
        <color rgb="FFFF0000"/>
        <rFont val="Arial"/>
        <family val="2"/>
      </rPr>
      <t>Élimination, élargissement du cadre, PVC</t>
    </r>
  </si>
  <si>
    <t>05.027</t>
  </si>
  <si>
    <t>9430b1e1-54b2-4105-8516-8c4ae46612d8</t>
  </si>
  <si>
    <t>Rahmenverbreiterung, Spanplatte</t>
  </si>
  <si>
    <t>91.171</t>
  </si>
  <si>
    <t>Entsorgung, Rahmenverbreiterung, Spanplatte</t>
  </si>
  <si>
    <t>Élargissement du cadre, panneau de particules</t>
  </si>
  <si>
    <r>
      <rPr>
        <sz val="10"/>
        <color rgb="FFFF0000"/>
        <rFont val="Arial"/>
        <family val="2"/>
      </rPr>
      <t>Élimination, élargissement du cadre, plaque de serrage</t>
    </r>
  </si>
  <si>
    <t>E236578E-CD94-4A5B-8102-258340AD9D3E</t>
  </si>
  <si>
    <r>
      <t xml:space="preserve">Sonnenschutz, Ausstellstoren motorisiert </t>
    </r>
    <r>
      <rPr>
        <vertAlign val="superscript"/>
        <sz val="10"/>
        <rFont val="Arial"/>
        <family val="2"/>
      </rPr>
      <t>4</t>
    </r>
  </si>
  <si>
    <t>91.104</t>
  </si>
  <si>
    <t>Entsorgung, Sonnenschutz, Ausstellstoren motorisiert</t>
  </si>
  <si>
    <r>
      <t>Protection solaire, stores à projection avec moteur</t>
    </r>
    <r>
      <rPr>
        <vertAlign val="superscript"/>
        <sz val="10"/>
        <rFont val="Arial"/>
        <family val="2"/>
      </rPr>
      <t xml:space="preserve"> 4</t>
    </r>
  </si>
  <si>
    <r>
      <rPr>
        <sz val="10"/>
        <color rgb="FFFF0000"/>
        <rFont val="Arial"/>
        <family val="2"/>
      </rPr>
      <t>Élimination, protection solaire, stores à projection avec moteur</t>
    </r>
  </si>
  <si>
    <t>9E4B8BDA-989A-484D-BFB1-E6CB90491CC4</t>
  </si>
  <si>
    <r>
      <t xml:space="preserve">Sonnenschutz, Lamellenstoren motorisiert </t>
    </r>
    <r>
      <rPr>
        <vertAlign val="superscript"/>
        <sz val="10"/>
        <rFont val="Arial"/>
        <family val="2"/>
      </rPr>
      <t>4</t>
    </r>
  </si>
  <si>
    <t>91.115</t>
  </si>
  <si>
    <t>Entsorgung, Sonnenschutz, Lamellenstoren motorisiert</t>
  </si>
  <si>
    <r>
      <t>Protection solaire, stores vénitiens avec moteur</t>
    </r>
    <r>
      <rPr>
        <vertAlign val="superscript"/>
        <sz val="10"/>
        <rFont val="Arial"/>
        <family val="2"/>
      </rPr>
      <t xml:space="preserve"> 4</t>
    </r>
  </si>
  <si>
    <r>
      <rPr>
        <sz val="10"/>
        <color rgb="FFFF0000"/>
        <rFont val="Arial"/>
        <family val="2"/>
      </rPr>
      <t>Élimination, protection solaire, stores vénitiens avec moteur</t>
    </r>
  </si>
  <si>
    <t>05.019</t>
  </si>
  <si>
    <t>D69BFDA2-373D-4794-BF31-42FAD621E4FB</t>
  </si>
  <si>
    <r>
      <t xml:space="preserve">Sonnenschutz, Rollladen motorisiert </t>
    </r>
    <r>
      <rPr>
        <vertAlign val="superscript"/>
        <sz val="10"/>
        <rFont val="Arial"/>
        <family val="2"/>
      </rPr>
      <t>4</t>
    </r>
  </si>
  <si>
    <t>91.118</t>
  </si>
  <si>
    <t>Entsorgung, Sonnenschutz, Rollladen motorisiert</t>
  </si>
  <si>
    <r>
      <t>Protection solaire, contrevent sur enrouleur avec moteur</t>
    </r>
    <r>
      <rPr>
        <vertAlign val="superscript"/>
        <sz val="10"/>
        <rFont val="Arial"/>
        <family val="2"/>
      </rPr>
      <t xml:space="preserve"> 4</t>
    </r>
  </si>
  <si>
    <r>
      <rPr>
        <sz val="10"/>
        <color rgb="FFFF0000"/>
        <rFont val="Arial"/>
        <family val="2"/>
      </rPr>
      <t>Élimination, protection solaire, contrevent sur enrouleur avec moteur</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</si>
  <si>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</si>
  <si>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</si>
  <si>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</si>
  <si>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06</t>
  </si>
  <si>
    <t xml:space="preserve">Metallbaustoffe </t>
  </si>
  <si>
    <t xml:space="preserve">Produits en métal </t>
  </si>
  <si>
    <t>06.001</t>
  </si>
  <si>
    <t>122994E0-6AE3-48F8-97C2-633125609F3E</t>
  </si>
  <si>
    <t>Aluminiumblech, blank</t>
  </si>
  <si>
    <t>91.141</t>
  </si>
  <si>
    <t>Entsorgung, Nichteisenmetalle</t>
  </si>
  <si>
    <t>Tôle d'aluminium, nue</t>
  </si>
  <si>
    <r>
      <rPr>
        <sz val="10"/>
        <color rgb="FFFF0000"/>
        <rFont val="Arial"/>
        <family val="2"/>
      </rPr>
      <t>Élimination, métaux non ferreux</t>
    </r>
  </si>
  <si>
    <t>9D19FB5F-33F0-44B4-9489-B6E224103955</t>
  </si>
  <si>
    <t>Aluminiumprofil, blank</t>
  </si>
  <si>
    <t>Profil d'aluminium, nu</t>
  </si>
  <si>
    <t>06.002.01</t>
  </si>
  <si>
    <t>C956DDE7-29FC-4FE5-A965-177615E14D14</t>
  </si>
  <si>
    <t>Aluminiumprofil blank, WICONA, hergestellt mit Hydro CIRCAL 75R</t>
  </si>
  <si>
    <t>Profil d'aluminium, nu, WICONA, fabriqué avec Hydro CIRCAL 75R</t>
  </si>
  <si>
    <t>1F33844F-91D2-4363-B328-904E15110A1C</t>
  </si>
  <si>
    <t>Armierungsstahl</t>
  </si>
  <si>
    <t>91.142</t>
  </si>
  <si>
    <t>Entsorgung, Armierungsstahl</t>
  </si>
  <si>
    <t>Acier d'armature</t>
  </si>
  <si>
    <r>
      <rPr>
        <sz val="10"/>
        <color rgb="FFFF0000"/>
        <rFont val="Arial"/>
        <family val="2"/>
      </rPr>
      <t>Élimination, acier d</t>
    </r>
    <r>
      <rPr>
        <sz val="10"/>
        <color rgb="FFFF0000"/>
        <rFont val="Arial"/>
        <family val="2"/>
      </rPr>
      <t>'armature</t>
    </r>
  </si>
  <si>
    <t>06.014</t>
  </si>
  <si>
    <t>1483FF58-F07C-4ED4-A422-3E72A667D1A7</t>
  </si>
  <si>
    <t>Blei</t>
  </si>
  <si>
    <t>Plomb</t>
  </si>
  <si>
    <t>0FE00428-0CF6-4CC1-A4B1-BA186F56D57E</t>
  </si>
  <si>
    <t>Chromnickelstahlblech 18/8 blank</t>
  </si>
  <si>
    <t>91.143</t>
  </si>
  <si>
    <t>Entsorgung, Stahl</t>
  </si>
  <si>
    <t>Tôle d'acier nickel-chrome 18/8, nue</t>
  </si>
  <si>
    <r>
      <rPr>
        <sz val="10"/>
        <color rgb="FFFF0000"/>
        <rFont val="Arial"/>
        <family val="2"/>
      </rPr>
      <t>Élimination, acier</t>
    </r>
  </si>
  <si>
    <t>06.005</t>
  </si>
  <si>
    <t>7AD1957E-FC33-43A8-88F8-2A4DD83A362A</t>
  </si>
  <si>
    <t>Chromnickelstahlblech 18/8 verzinnt</t>
  </si>
  <si>
    <t>Tôle d'acier nickel-chrome étamée 18/8</t>
  </si>
  <si>
    <t>06.006</t>
  </si>
  <si>
    <t>75CC3E80-7E5F-4E12-898A-03966A87E3E6</t>
  </si>
  <si>
    <t>Chromstahlblech blank</t>
  </si>
  <si>
    <t>Tôle d'acier chromé, nue</t>
  </si>
  <si>
    <t>06.007</t>
  </si>
  <si>
    <t>4594A8BF-8167-4183-9A45-CB64DF6D95B8</t>
  </si>
  <si>
    <t>Chromstahlblech verzinnt</t>
  </si>
  <si>
    <t>Tôle d'acier chromé, étamée</t>
  </si>
  <si>
    <t>06.008</t>
  </si>
  <si>
    <t>92E11D9B-9BC5-4032-BB06-2082CE3D8AFD</t>
  </si>
  <si>
    <t>Kupferblech, blank</t>
  </si>
  <si>
    <t>Tôle de cuivre, nue</t>
  </si>
  <si>
    <t>06.009</t>
  </si>
  <si>
    <t>EB9E1E6E-6F40-4CB7-B373-5D66FD146CF5</t>
  </si>
  <si>
    <t>Messing-/Baubronzeblech</t>
  </si>
  <si>
    <t>Tôle de laiton/bronze de construction</t>
  </si>
  <si>
    <t>06.010</t>
  </si>
  <si>
    <t>38C1572A-3CE8-47C0-B24E-5E924A8AD97E</t>
  </si>
  <si>
    <t>Stahlblech, blank</t>
  </si>
  <si>
    <t>Tôle d'acier nue</t>
  </si>
  <si>
    <t>68F8D468-2A49-430A-A94A-A3073A85B029</t>
  </si>
  <si>
    <t>Stahlblech, verzinkt</t>
  </si>
  <si>
    <t>Tôle d'acier, zinguée</t>
  </si>
  <si>
    <t>4DC70979-B6CA-4DA5-A291-6F1A082EE475</t>
  </si>
  <si>
    <t>Stahlprofil, blank</t>
  </si>
  <si>
    <t>Profil en acier, nu</t>
  </si>
  <si>
    <t>06.013</t>
  </si>
  <si>
    <t>3A017EE3-8EAE-4957-9976-39EA72157918</t>
  </si>
  <si>
    <t>Titanzinkblech</t>
  </si>
  <si>
    <t>Tôle zinc-titane</t>
  </si>
  <si>
    <t>07</t>
  </si>
  <si>
    <t>Holz und Holzwerkstoffe</t>
  </si>
  <si>
    <t>Bois et produits en bois</t>
  </si>
  <si>
    <t>BBA9796B-B084-473D-B362-E703FAD37CAA</t>
  </si>
  <si>
    <t>3- und 5-Schicht Massivholzplatte</t>
  </si>
  <si>
    <t>91.048</t>
  </si>
  <si>
    <t>Entsorgung, Dreischichtplatte</t>
  </si>
  <si>
    <t>Bois massif 3 et 5 plis</t>
  </si>
  <si>
    <r>
      <rPr>
        <sz val="10"/>
        <color rgb="FFFF0000"/>
        <rFont val="Arial"/>
        <family val="2"/>
      </rPr>
      <t>Élimination, panneau tricouche</t>
    </r>
  </si>
  <si>
    <t>07.021</t>
  </si>
  <si>
    <t>f346cb73-61fb-4468-b500-3bfc161d80a6</t>
  </si>
  <si>
    <t>Balkenschichtholz</t>
  </si>
  <si>
    <t>91.047</t>
  </si>
  <si>
    <t>Entsorgung, Brettschichtholz verleimt</t>
  </si>
  <si>
    <t>Bois d'équarrissage</t>
  </si>
  <si>
    <r>
      <rPr>
        <sz val="10"/>
        <color rgb="FFFF0000"/>
        <rFont val="Arial"/>
        <family val="2"/>
      </rPr>
      <t>Élimination, lamellé-collé</t>
    </r>
  </si>
  <si>
    <t>75F8C2B2-0B4E-4243-93D6-9D8B721B4D12</t>
  </si>
  <si>
    <t>Brettschichtholz</t>
  </si>
  <si>
    <t>Bois lamellé-collé</t>
  </si>
  <si>
    <t>07.003.01</t>
  </si>
  <si>
    <t>5D0AAC66-9661-4D7A-A239-8A8931B4CFF3</t>
  </si>
  <si>
    <t>Brettschichtholz, Produktion Schweiz</t>
  </si>
  <si>
    <t>Bois lamellé-collé, colle MF, zone humide, production Suisse</t>
  </si>
  <si>
    <t>07.002</t>
  </si>
  <si>
    <t>1095B95F-6036-45CA-B450-7A3A8E1897BB</t>
  </si>
  <si>
    <t>07.002.01</t>
  </si>
  <si>
    <t>D6C6F539-93DD-4C07-AF40-3EF6321D4FBD</t>
  </si>
  <si>
    <t>Bois lamellé-collé, colle UF, zone sèche, production Suisse</t>
  </si>
  <si>
    <t>07.020</t>
  </si>
  <si>
    <t>83c72ece-6641-4675-97f0-a6236caf7e7f</t>
  </si>
  <si>
    <t>Brettsperrholz</t>
  </si>
  <si>
    <t>91.145</t>
  </si>
  <si>
    <t>Entsorgung, Spanplatte, 10% Bindemittel</t>
  </si>
  <si>
    <t>Contreplaqué de planches</t>
  </si>
  <si>
    <r>
      <rPr>
        <sz val="10"/>
        <color rgb="FFFF0000"/>
        <rFont val="Arial"/>
        <family val="2"/>
      </rPr>
      <t>Élimination, plaque de serrage, agent liant 10 %</t>
    </r>
  </si>
  <si>
    <t>07.020.01</t>
  </si>
  <si>
    <t>25754a33-5165-4d33-b2d2-e8422557b849</t>
  </si>
  <si>
    <t>Brettsperrholz, Produktion Schweiz</t>
  </si>
  <si>
    <t>Contreplaqué de placage, production Suisse</t>
  </si>
  <si>
    <t>07.022</t>
  </si>
  <si>
    <t>b914b5f8-ce92-4da0-8c94-055ee668b154</t>
  </si>
  <si>
    <t>Furniersperrholz</t>
  </si>
  <si>
    <t>Contreplaqué de placage</t>
  </si>
  <si>
    <t>07.004</t>
  </si>
  <si>
    <t>99B2F7E4-22F3-4C8E-9C76-D3CBADA830E2</t>
  </si>
  <si>
    <t>Hartfaserplatte</t>
  </si>
  <si>
    <t>91.049</t>
  </si>
  <si>
    <t>Entsorgung, Holzfaserplatte hart</t>
  </si>
  <si>
    <t>Panneau de particules dur</t>
  </si>
  <si>
    <r>
      <rPr>
        <sz val="10"/>
        <color rgb="FFFF0000"/>
        <rFont val="Arial"/>
        <family val="2"/>
      </rPr>
      <t>Élimination, panneau de fibres dur</t>
    </r>
  </si>
  <si>
    <t>07.005</t>
  </si>
  <si>
    <t>C916FBF8-EB8F-43A7-9D11-9E92CF9F083D</t>
  </si>
  <si>
    <t>Holzwolle-Leichtbauplatte, zementgebunden</t>
  </si>
  <si>
    <t>91.144</t>
  </si>
  <si>
    <t>Entsorgung, Verbundmaterialien, organisch-mineralisch</t>
  </si>
  <si>
    <t>Panneau de bois léger à paille de bois liée par du ciment</t>
  </si>
  <si>
    <r>
      <rPr>
        <sz val="10"/>
        <color rgb="FFFF0000"/>
        <rFont val="Arial"/>
        <family val="2"/>
      </rPr>
      <t>Élimination, matériaux composites, organique-minéral</t>
    </r>
  </si>
  <si>
    <t>07.023</t>
  </si>
  <si>
    <t>dff243df-ce92-429c-b6f4-a1e3ca114b16</t>
  </si>
  <si>
    <t>Konstruktionsvollholz</t>
  </si>
  <si>
    <t>Bois massif de construction</t>
  </si>
  <si>
    <t>07.008</t>
  </si>
  <si>
    <t>5452FFFF-13C9-4D8B-803B-E644F35A3325</t>
  </si>
  <si>
    <t>Massivholz Buche / Eiche, kammergetrocknet, gehobelt</t>
  </si>
  <si>
    <t>91.052</t>
  </si>
  <si>
    <t>Entsorgung, Holz und Holzwerkstoffe, Massivholz</t>
  </si>
  <si>
    <t>Bois massif hêtre / chêne, séché en cellule, raboté</t>
  </si>
  <si>
    <r>
      <rPr>
        <sz val="10"/>
        <color rgb="FFFF0000"/>
        <rFont val="Arial"/>
        <family val="2"/>
      </rPr>
      <t>Élimination, bois et matériaux dérivés, bois massif</t>
    </r>
  </si>
  <si>
    <t>07.008.01</t>
  </si>
  <si>
    <t>348B6926-0D2A-4820-AA05-C815FE65A421</t>
  </si>
  <si>
    <t>Massivholz Buche / Eiche, kammergetrocknet, gehobelt, Produktion Schweiz</t>
  </si>
  <si>
    <t>Bois massif hêtre / chêne, séché en cellule, raboté, production Suisse</t>
  </si>
  <si>
    <t>07.007</t>
  </si>
  <si>
    <t>9AC95A58-6438-48B7-BB6A-B07B6F4CFB6A</t>
  </si>
  <si>
    <t>Massivholz Buche / Eiche, kammergetrocknet, rau</t>
  </si>
  <si>
    <t>Bois massif hêtre, chêne, séché en cellule, brut</t>
  </si>
  <si>
    <t>07.007.01</t>
  </si>
  <si>
    <t>698D8A43-8983-432E-A51B-D90C9BA23AC1</t>
  </si>
  <si>
    <t>Massivholz Buche / Eiche, kammergetrocknet, rau, Produktion Schweiz</t>
  </si>
  <si>
    <t>Bois massif hêtre, chêne, séché en cellule, brut, production Suisse</t>
  </si>
  <si>
    <t>07.006</t>
  </si>
  <si>
    <t>531C8578-0D4B-469A-ACE5-8E3A536FC47C</t>
  </si>
  <si>
    <t>Massivholz Buche / Eiche, luftgetrocknet, rau</t>
  </si>
  <si>
    <t>Bois massif hêtre / chêne, séché à l'air, brut</t>
  </si>
  <si>
    <t>07.006.01</t>
  </si>
  <si>
    <t>F9547BDA-290C-44C5-8794-C921A2DED0BA</t>
  </si>
  <si>
    <t>Massivholz Buche / Eiche, luftgetrocknet, rau, Produktion Schweiz</t>
  </si>
  <si>
    <t>Bois massif hêtre / chêne, séché à l'air, brut, production Suisse</t>
  </si>
  <si>
    <t>3D89DC7F-1638-4C94-AFA8-DC31CAC210BC</t>
  </si>
  <si>
    <t>Massivholz Fichte / Tanne / Lärche, kammergetr., gehobelt</t>
  </si>
  <si>
    <t>Bois massif épicéa / sapin / mélèze, séché en cellule, raboté</t>
  </si>
  <si>
    <t>07.011.01</t>
  </si>
  <si>
    <t>D122C786-0887-4B71-BEBD-513955B5F184</t>
  </si>
  <si>
    <t>Massivholz Fichte / Tanne / Lärche, kammergetr., gehobelt, Produktion Schweiz</t>
  </si>
  <si>
    <t>Bois massif épicéa / sapin / mélèze, séché en cellule, raboté, production Suisse</t>
  </si>
  <si>
    <t>07.011.02</t>
  </si>
  <si>
    <t>C4DE94C2-36D6-4BB9-9753-228622401A82</t>
  </si>
  <si>
    <t>Massivholz Fichte / Tanne, kammergetr., Vollholzhaus holzpur</t>
  </si>
  <si>
    <t>Bois massif épicéa / sapin, séché en cellule, holzpur</t>
  </si>
  <si>
    <t>07.010</t>
  </si>
  <si>
    <t>C6FE17BA-12BD-4454-B0F0-74CA8C665D6B</t>
  </si>
  <si>
    <t>Massivholz Fichte / Tanne / Lärche, luftgetr., gehobelt</t>
  </si>
  <si>
    <t>Bois massif épicéa / sapin / mélèze, séché à l'air, raboté</t>
  </si>
  <si>
    <t>07.010.01</t>
  </si>
  <si>
    <t>0AABF430-9178-4975-8390-B4C585739DE2</t>
  </si>
  <si>
    <t>Massivholz Fichte / Tanne / Lärche, luftgetr., gehobelt, Produktion Schweiz</t>
  </si>
  <si>
    <t>Bois massif épicéa / sapin / mélèze, séché à l'air, raboté, production Suisse</t>
  </si>
  <si>
    <t>EB82F166-04B1-49F0-A586-FD8F92824196</t>
  </si>
  <si>
    <t>Massivholz Fichte / Tanne / Lärche, luftgetrocknet, rau</t>
  </si>
  <si>
    <t>Bois massif épicéa / sapin / mélèze, séché à l'air, brut</t>
  </si>
  <si>
    <t>07.009.01</t>
  </si>
  <si>
    <t>ADBDB232-AC94-49B1-9EB6-652076C22BAB</t>
  </si>
  <si>
    <t>Massivholz Fichte / Tanne / Lärche, luftgetrocknet, rau, Produktion Schweiz</t>
  </si>
  <si>
    <t>Bois massif épicéa / sapin / mélèze, séché à l'air, brut, production Suisse</t>
  </si>
  <si>
    <t>07.012</t>
  </si>
  <si>
    <t>962B816C-DBD4-445F-8392-E4F8532069C8</t>
  </si>
  <si>
    <t>Mitteldichte Faserplatte (MDF), UF-gebunden</t>
  </si>
  <si>
    <t>91.050</t>
  </si>
  <si>
    <t>Entsorgung, Faserplatte mittlerer Dichte (MDF)</t>
  </si>
  <si>
    <t>Panneau de fibres à densité moyenne (MDF), colle UF</t>
  </si>
  <si>
    <r>
      <rPr>
        <sz val="10"/>
        <color rgb="FFFF0000"/>
        <rFont val="Arial"/>
        <family val="2"/>
      </rPr>
      <t>Élimination, panneau de fibres de compacité moyenne</t>
    </r>
  </si>
  <si>
    <t>07.013</t>
  </si>
  <si>
    <t>BD66B05D-27E3-4ADF-85A2-E0ABBBA686A5</t>
  </si>
  <si>
    <t>OSB Platte, PF-gebunden, Feuchtbereich</t>
  </si>
  <si>
    <t>Panneau d'aggloméré type OSB, colle PF, zone humide</t>
  </si>
  <si>
    <t>07.024</t>
  </si>
  <si>
    <t>2ec4e1b4-5694-4169-b734-b38c2365aaac</t>
  </si>
  <si>
    <t>Röhrenspanplatte</t>
  </si>
  <si>
    <t>Panneau de particules tubulaire</t>
  </si>
  <si>
    <t>07.015</t>
  </si>
  <si>
    <t>F54AEECA-7B3B-4ACE-B4CB-88527B1C903C</t>
  </si>
  <si>
    <t>Spanplatte, PF-gebunden, Feuchtbereich</t>
  </si>
  <si>
    <t>Panneau de particules, colle PF, zone humide</t>
  </si>
  <si>
    <t>07.016</t>
  </si>
  <si>
    <t>FB830352-0350-46F9-BF46-73733C576386</t>
  </si>
  <si>
    <t>Spanplatte, UF-gebunden, beschichtet, Trockenbereich</t>
  </si>
  <si>
    <t>91.057</t>
  </si>
  <si>
    <t>Entsorgung, Spanplatte, 10% Bindemittel, 3.5% MF-gebunden</t>
  </si>
  <si>
    <t>Panneau de particules, colle UF, enduit, zone sèche</t>
  </si>
  <si>
    <r>
      <rPr>
        <sz val="10"/>
        <color rgb="FFFF0000"/>
        <rFont val="Arial"/>
        <family val="2"/>
      </rPr>
      <t>Élimination, plaque de serrage, agent liant 10 %, 3,5 % résine MF</t>
    </r>
  </si>
  <si>
    <t>07.014</t>
  </si>
  <si>
    <t>E88CFF0D-059B-4E8A-93BC-A4E3A917A2F6</t>
  </si>
  <si>
    <t>Spanplatte, UF-gebunden, Trockenbereich</t>
  </si>
  <si>
    <t>Panneau de particules, colle UF, zone sèche</t>
  </si>
  <si>
    <t>32B17B00-83C9-412F-899B-03B8DB3781BF</t>
  </si>
  <si>
    <t>Sperrholz/Multiplex, PF-gebunden, Feuchtbereich</t>
  </si>
  <si>
    <t>Bois lamellé / multiplex, colle PF, zone humide</t>
  </si>
  <si>
    <t>07.017</t>
  </si>
  <si>
    <t>55C3FB36-27C5-40BB-B51C-715C9F2984FE</t>
  </si>
  <si>
    <t>Sperrholz/Multiplex, UF-gebunden, Trockenbereich</t>
  </si>
  <si>
    <t>Bois lamellé / multiplex, colle UF, zone sèche</t>
  </si>
  <si>
    <t>07.019</t>
  </si>
  <si>
    <t>134906e4-dbd4-42e3-828c-e819fea6a651</t>
  </si>
  <si>
    <t>Stabschichtholz, Buche</t>
  </si>
  <si>
    <t>Bois lamellé-collé en hêtre</t>
  </si>
  <si>
    <t>07.019.01</t>
  </si>
  <si>
    <t>9b25432d-40ef-4f3b-8c5b-7104ad4b6d52</t>
  </si>
  <si>
    <t>Stabschichtholz, Buche, fagus</t>
  </si>
  <si>
    <t>91.175.01</t>
  </si>
  <si>
    <t>Entsorgung, Stabschichtholz, Buche, fagus</t>
  </si>
  <si>
    <t>Bois lamellé-collé en hêtre, fagus</t>
  </si>
  <si>
    <r>
      <rPr>
        <sz val="10"/>
        <color rgb="FFFF0000"/>
        <rFont val="Arial"/>
        <family val="2"/>
      </rPr>
      <t>Élimination, bois lamellé-collé, hêtre, fagus</t>
    </r>
  </si>
  <si>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</si>
  <si>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08</t>
  </si>
  <si>
    <t>Klebstoffe und Fugendichtungsmassen</t>
  </si>
  <si>
    <t>Colles et masses de jointoiement</t>
  </si>
  <si>
    <t>21330D47-1D7A-36C8-7F0E-CB11F4CB2767</t>
  </si>
  <si>
    <t>2-Komponenten Klebstoff</t>
  </si>
  <si>
    <t>91.146</t>
  </si>
  <si>
    <t>Entsorgung, Kleb-, Dichtstoffe, Anstriche</t>
  </si>
  <si>
    <t>Colle bicomposant</t>
  </si>
  <si>
    <r>
      <rPr>
        <sz val="10"/>
        <color rgb="FFFF0000"/>
        <rFont val="Arial"/>
        <family val="2"/>
      </rPr>
      <t>Élimination, colles, produits d</t>
    </r>
    <r>
      <rPr>
        <sz val="10"/>
        <color rgb="FFFF0000"/>
        <rFont val="Arial"/>
        <family val="2"/>
      </rPr>
      <t>'étanchéité, peintures</t>
    </r>
  </si>
  <si>
    <t>CA0CC8C0-0CF0-4DE4-A9E8-C3B416365119</t>
  </si>
  <si>
    <t>Heissbitumen</t>
  </si>
  <si>
    <t>Masse bitumeuse, chaude</t>
  </si>
  <si>
    <t>08.003</t>
  </si>
  <si>
    <t>9831C103-3AC5-439B-9BF1-3C1976328C98</t>
  </si>
  <si>
    <t>Kautschukdichtungsmasse</t>
  </si>
  <si>
    <t>Masse de jointoiement en caoutchouc</t>
  </si>
  <si>
    <t>08.004</t>
  </si>
  <si>
    <t>0732FA24-108B-41A5-A86B-71ADB88B5F21</t>
  </si>
  <si>
    <t>Polysulfiddichtungsmasse</t>
  </si>
  <si>
    <t>Masse de jointoiement en polysulfide</t>
  </si>
  <si>
    <t>08.005</t>
  </si>
  <si>
    <t>85E73CA0-F8D0-4F4D-BA4F-074E3BBD8A31</t>
  </si>
  <si>
    <t>Silicon-Fugenmasse</t>
  </si>
  <si>
    <t>Masse de jointoiement en silicone</t>
  </si>
  <si>
    <t>09</t>
  </si>
  <si>
    <t>Dichtungsbahnen und Schutzfolien</t>
  </si>
  <si>
    <r>
      <t>kg/m</t>
    </r>
    <r>
      <rPr>
        <b/>
        <vertAlign val="superscript"/>
        <sz val="10"/>
        <rFont val="Arial"/>
        <family val="2"/>
      </rPr>
      <t>3</t>
    </r>
    <r>
      <rPr>
        <b/>
        <sz val="10"/>
        <rFont val="Arial"/>
        <family val="2"/>
      </rPr>
      <t>; kg/m</t>
    </r>
    <r>
      <rPr>
        <b/>
        <vertAlign val="superscript"/>
        <sz val="10"/>
        <rFont val="Arial"/>
        <family val="2"/>
      </rPr>
      <t>2</t>
    </r>
  </si>
  <si>
    <t xml:space="preserve">Lés d'étanchéité et feuilles de protection </t>
  </si>
  <si>
    <t>01CD6F3D-BD57-4002-A3FB-6CD6DF5868D7</t>
  </si>
  <si>
    <t>Dampfbremse bituminös</t>
  </si>
  <si>
    <t>91.172</t>
  </si>
  <si>
    <t>Entsorgung, Dichtungsbahnen und Schutzfolien, Dampfbremse Bitumen</t>
  </si>
  <si>
    <t>Barrière de vapeur bitumineuse</t>
  </si>
  <si>
    <r>
      <rPr>
        <sz val="10"/>
        <color rgb="FFFF0000"/>
        <rFont val="Arial"/>
        <family val="2"/>
      </rPr>
      <t>Élimination, feuilles d</t>
    </r>
    <r>
      <rPr>
        <sz val="10"/>
        <color rgb="FFFF0000"/>
        <rFont val="Arial"/>
        <family val="2"/>
      </rPr>
      <t>'étanchéité et de protection, frein de vapeur en bitume</t>
    </r>
  </si>
  <si>
    <t>09.002</t>
  </si>
  <si>
    <t>5155BF82-EBE7-4FE9-A0C3-3B52FF372827</t>
  </si>
  <si>
    <t>Dampfbremse Polyethylen (PE)</t>
  </si>
  <si>
    <t>91.037</t>
  </si>
  <si>
    <t>Entsorgung, Dichtungsbahnen und Schutzfolien, Dampfbremse PE</t>
  </si>
  <si>
    <t>Barrière de vapeur PE</t>
  </si>
  <si>
    <r>
      <rPr>
        <sz val="10"/>
        <color rgb="FFFF0000"/>
        <rFont val="Arial"/>
        <family val="2"/>
      </rPr>
      <t>Élimination, feuilles d</t>
    </r>
    <r>
      <rPr>
        <sz val="10"/>
        <color rgb="FFFF0000"/>
        <rFont val="Arial"/>
        <family val="2"/>
      </rPr>
      <t>'étanchéité et de protection, frein de vapeur en PE</t>
    </r>
  </si>
  <si>
    <t>7BA5DD3A-06EF-4108-853B-3687B698FF22</t>
  </si>
  <si>
    <t>Dichtungsbahn bituminös</t>
  </si>
  <si>
    <t>Lé d'étanchéité bitumineux</t>
  </si>
  <si>
    <t>09.003.11</t>
  </si>
  <si>
    <t>7734C0C2-7D2F-4604-A1A8-D8CB9E7310C7</t>
  </si>
  <si>
    <t>Bituminöse Dichtungsbahn, swissporBIKUPLAN ECO</t>
  </si>
  <si>
    <t>Lé d'étanchéité bitumineux, swissporBIKUPLAN ECO</t>
  </si>
  <si>
    <t>8363831F-FB86-4CDD-B1F2-138E478F34B0</t>
  </si>
  <si>
    <t>Bituminöse Dichtungsbahn, swissporBIKUTOP</t>
  </si>
  <si>
    <t>Lé d'étanchéité bitumineux, swissporBIKUTOP</t>
  </si>
  <si>
    <t>09.003.02</t>
  </si>
  <si>
    <t>3734EA52-A3C5-4A05-A040-03322A348AE1</t>
  </si>
  <si>
    <t>Bituminöse Dichtungsbahn, swissporBIKUTOP ECO</t>
  </si>
  <si>
    <t>Lé d'étanchéité bitumineux, swissporBIKUTOP ECO</t>
  </si>
  <si>
    <t>BA1409B5-8AC0-4016-9AC1-E3AFC2D20C52</t>
  </si>
  <si>
    <t>09.003.04</t>
  </si>
  <si>
    <t>2AEB700D-8C0A-4554-97D3-80B5CC367CAD</t>
  </si>
  <si>
    <t>09.003.05</t>
  </si>
  <si>
    <t>0C5A7BA6-B74D-46D7-A2F1-5F7E95808E83</t>
  </si>
  <si>
    <t>09.003.06</t>
  </si>
  <si>
    <t>744A1B0B-105B-45BA-909E-79E490F26917</t>
  </si>
  <si>
    <t>DF6CF380-78F7-466D-AD94-DA3ED7536CA9</t>
  </si>
  <si>
    <t>09.003.08</t>
  </si>
  <si>
    <t>EDC15F2A-8353-4B92-89EA-F588F082D528</t>
  </si>
  <si>
    <t>09.003.09</t>
  </si>
  <si>
    <t>2B07EF82-8010-4C65-AF7C-90055932DA86</t>
  </si>
  <si>
    <t>09.003.10</t>
  </si>
  <si>
    <t>E6956688-D02C-414C-8EC6-B0FAEF52C8B8</t>
  </si>
  <si>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</si>
  <si>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</si>
  <si>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</si>
  <si>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</si>
  <si>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</si>
  <si>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</si>
  <si>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</si>
  <si>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</si>
  <si>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</si>
  <si>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</si>
  <si>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</si>
  <si>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</si>
  <si>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</si>
  <si>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</si>
  <si>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</si>
  <si>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</si>
  <si>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</si>
  <si>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</si>
  <si>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</si>
  <si>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</si>
  <si>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</si>
  <si>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</si>
  <si>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</si>
  <si>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</si>
  <si>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</si>
  <si>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</si>
  <si>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</si>
  <si>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</si>
  <si>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</si>
  <si>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</si>
  <si>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</si>
  <si>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</si>
  <si>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t>09.004</t>
  </si>
  <si>
    <t>90159AF7-455B-4996-A1AC-6D5B6E3242F4</t>
  </si>
  <si>
    <t>Dichtungsbahn Gummi (EPDM)</t>
  </si>
  <si>
    <t>91.147</t>
  </si>
  <si>
    <t>Entsorgung, Dichtungsbahnen und Schutzfolien, EPDM</t>
  </si>
  <si>
    <t>Lé d'étanchéité caoutchouc (EPDM)</t>
  </si>
  <si>
    <r>
      <rPr>
        <sz val="10"/>
        <color rgb="FFFF0000"/>
        <rFont val="Arial"/>
        <family val="2"/>
      </rPr>
      <t>Élimination, bandes d</t>
    </r>
    <r>
      <rPr>
        <sz val="10"/>
        <color rgb="FFFF0000"/>
        <rFont val="Arial"/>
        <family val="2"/>
      </rPr>
      <t>'étanchéité et de protection, EPDM</t>
    </r>
  </si>
  <si>
    <t>09.005</t>
  </si>
  <si>
    <t>CFA0CA34-15A6-4D99-AEC3-CA60F46DBE4D</t>
  </si>
  <si>
    <t>Dichtungsbahn Polyolefin (FPO)</t>
  </si>
  <si>
    <t>91.148</t>
  </si>
  <si>
    <t>Entsorgung, Dichtungsbahnen und Schutzfolien, Polyolefin</t>
  </si>
  <si>
    <t>Lé d'étanchéité polyoléfine (FPO)</t>
  </si>
  <si>
    <r>
      <rPr>
        <sz val="10"/>
        <color rgb="FFFF0000"/>
        <rFont val="Arial"/>
        <family val="2"/>
      </rPr>
      <t>Élimination, bandes d</t>
    </r>
    <r>
      <rPr>
        <sz val="10"/>
        <color rgb="FFFF0000"/>
        <rFont val="Arial"/>
        <family val="2"/>
      </rPr>
      <t>'étanchéité et de protection, polyoléfine</t>
    </r>
  </si>
  <si>
    <t>09.006</t>
  </si>
  <si>
    <t>5C26C97A-D10C-49A8-815E-06A340CCC448</t>
  </si>
  <si>
    <t>Kraftpapier</t>
  </si>
  <si>
    <t>91.149</t>
  </si>
  <si>
    <t>Entsorgung, Kraft-Papier</t>
  </si>
  <si>
    <t>Papier Kraft</t>
  </si>
  <si>
    <r>
      <rPr>
        <sz val="10"/>
        <color rgb="FFFF0000"/>
        <rFont val="Arial"/>
        <family val="2"/>
      </rPr>
      <t>Élimination, papier kraft</t>
    </r>
  </si>
  <si>
    <t>D4BF6599-6623-4AE5-9D50-8EDDB6B05F41</t>
  </si>
  <si>
    <t>Polyethylenfolie (PE)</t>
  </si>
  <si>
    <t>Feuille de polyéthylène (PE)</t>
  </si>
  <si>
    <t>FD71B629-B98E-47C8-ADA4-513631C0896B</t>
  </si>
  <si>
    <t>Polyethylenvlies (PE)</t>
  </si>
  <si>
    <t>Voile de polyéthylène (PE)</t>
  </si>
  <si>
    <t>10</t>
  </si>
  <si>
    <t>Wärmedämmstoffe</t>
  </si>
  <si>
    <t>Produits d'isolation thermique</t>
  </si>
  <si>
    <t>10.014</t>
  </si>
  <si>
    <t>9EC4E12B-5E75-4A0B-84DA-A1A5F152A4BC</t>
  </si>
  <si>
    <t>Aerogel-Vlies</t>
  </si>
  <si>
    <t>91.119</t>
  </si>
  <si>
    <t>Entsorgung, Aerogel-Vlies</t>
  </si>
  <si>
    <t>Fibres d'aérogel</t>
  </si>
  <si>
    <r>
      <rPr>
        <sz val="10"/>
        <color rgb="FFFF0000"/>
        <rFont val="Arial"/>
        <family val="2"/>
      </rPr>
      <t>Élimination, fibres d</t>
    </r>
    <r>
      <rPr>
        <sz val="10"/>
        <color rgb="FFFF0000"/>
        <rFont val="Arial"/>
        <family val="2"/>
      </rPr>
      <t>'aérogel</t>
    </r>
  </si>
  <si>
    <t>E6773968-F9C9-4782-A5CD-78B9B1164571</t>
  </si>
  <si>
    <t>Blähperlit</t>
  </si>
  <si>
    <t>65-140</t>
  </si>
  <si>
    <t>Perlite expansée</t>
  </si>
  <si>
    <r>
      <rPr>
        <sz val="10"/>
        <color rgb="FFFF0000"/>
        <rFont val="Arial"/>
        <family val="2"/>
      </rPr>
      <t>Élimination, bâtiment, brique en terre cuite, élimination</t>
    </r>
  </si>
  <si>
    <t>10.011</t>
  </si>
  <si>
    <t>A0A69B33-B2C9-4DE4-BA2E-770C2A4EF76A</t>
  </si>
  <si>
    <t>Blähvermiculit</t>
  </si>
  <si>
    <t>Vermiculite expansée</t>
  </si>
  <si>
    <t>10.016</t>
  </si>
  <si>
    <t>7A1681B7-2F34-4B51-BF2D-D4C9C33CFCA5</t>
  </si>
  <si>
    <t>Flachsfasern</t>
  </si>
  <si>
    <t>91.121</t>
  </si>
  <si>
    <t>Entsorgung, Flachsfaser-Dämmung</t>
  </si>
  <si>
    <t>Isolation en lin</t>
  </si>
  <si>
    <r>
      <rPr>
        <sz val="10"/>
        <color rgb="FFFF0000"/>
        <rFont val="Arial"/>
        <family val="2"/>
      </rPr>
      <t>Élimination, isolation lin</t>
    </r>
  </si>
  <si>
    <t>10.016.01</t>
  </si>
  <si>
    <t>109E7CA4-9DB1-46E0-AAA8-EF6E159A7A63</t>
  </si>
  <si>
    <t>Flachsfasern, MAGRIPOL, Premium</t>
  </si>
  <si>
    <t>Isolation en lin, MAGRIPOL, Premium</t>
  </si>
  <si>
    <t>10.017</t>
  </si>
  <si>
    <t>CC513F17-747F-4776-ABFA-9C78FF26A557</t>
  </si>
  <si>
    <t>Flachsfasern, feuerfest</t>
  </si>
  <si>
    <t>Isolation en lin, résistant au feu</t>
  </si>
  <si>
    <t>10.017.01</t>
  </si>
  <si>
    <t>C5CF1731-3091-4FC5-9552-DE7368F296A6</t>
  </si>
  <si>
    <t>Flachsfasern, feuerfest, MAGRIPOL, Premium+</t>
  </si>
  <si>
    <t>Isolation en lin, anti-feu, MAGRIPOL, Premium+</t>
  </si>
  <si>
    <t>43B03F61-91A1-438E-B958-6E274F13B241</t>
  </si>
  <si>
    <t>Glaswolle</t>
  </si>
  <si>
    <t>91.173</t>
  </si>
  <si>
    <t>Entsorgung, Dämmstoff, mineralisch</t>
  </si>
  <si>
    <t>20-100</t>
  </si>
  <si>
    <r>
      <rPr>
        <sz val="10"/>
        <color rgb="FFFF0000"/>
        <rFont val="Arial"/>
        <family val="2"/>
      </rPr>
      <t>Élimination, matériaux isolant, minéral</t>
    </r>
  </si>
  <si>
    <t>10.001.01</t>
  </si>
  <si>
    <t>C2140A4D-E25B-4E13-BD72-87C1C5A37286</t>
  </si>
  <si>
    <t>Glaswolle, Isover, phenolbasiertes Bindemittel</t>
  </si>
  <si>
    <t>Laine de verre, Isover, résine phénolique</t>
  </si>
  <si>
    <t>10.001.03</t>
  </si>
  <si>
    <t>894290c5-7d1a-42b6-8b27-cfabcd6fa573</t>
  </si>
  <si>
    <t>Glaswolle, Isover, pflanzliches Bindemittel</t>
  </si>
  <si>
    <t>Laine de verre, Isover, liant végétal</t>
  </si>
  <si>
    <t>10.001.02</t>
  </si>
  <si>
    <t>b0b693b6-0c93-49bc-ad75-0de3492042b8</t>
  </si>
  <si>
    <t>Glaswolle, SUPAFIL</t>
  </si>
  <si>
    <t>Laine de verre, SUPAFIL</t>
  </si>
  <si>
    <t>10.002</t>
  </si>
  <si>
    <t>42A8911C-62FF-4A4B-ACD8-31E4148787E8</t>
  </si>
  <si>
    <t>Korkplatte</t>
  </si>
  <si>
    <t>91.150</t>
  </si>
  <si>
    <t>Entsorgung, Korkplatte</t>
  </si>
  <si>
    <t>Panneau en liège</t>
  </si>
  <si>
    <r>
      <rPr>
        <sz val="10"/>
        <color rgb="FFFF0000"/>
        <rFont val="Arial"/>
        <family val="2"/>
      </rPr>
      <t>Élimination, panneau de liège</t>
    </r>
  </si>
  <si>
    <t>10.003</t>
  </si>
  <si>
    <t>4F352DCA-9E8B-49E4-98B6-F10BA797180E</t>
  </si>
  <si>
    <t>Phenolharz (PF)</t>
  </si>
  <si>
    <t>91.151</t>
  </si>
  <si>
    <t>Entsorgung, Dämmstoff, organisch, Polystyrol</t>
  </si>
  <si>
    <t>Résine phénolique  (PF)</t>
  </si>
  <si>
    <r>
      <rPr>
        <sz val="10"/>
        <color rgb="FFFF0000"/>
        <rFont val="Arial"/>
        <family val="2"/>
      </rPr>
      <t>Élimination, matériau isolant, organique, polystyrène</t>
    </r>
  </si>
  <si>
    <t>9F6CB547-DC00-4900-8FB4-A37135F510B4</t>
  </si>
  <si>
    <t>Polystyrol expandiert (EPS)</t>
  </si>
  <si>
    <t>15-40</t>
  </si>
  <si>
    <t>Polystyrène expansé (EPS)</t>
  </si>
  <si>
    <t>10.004.01</t>
  </si>
  <si>
    <t>046FE9F5-65FC-48A0-802F-8E2EE600CDA6</t>
  </si>
  <si>
    <t>Polystyrol expandiert, SwissporEPS</t>
  </si>
  <si>
    <t>Polystyrène expansé, SwissporEPS</t>
  </si>
  <si>
    <t>10.004.02</t>
  </si>
  <si>
    <t>05CBB4FF-6CFE-4285-86E1-8D5EA593637D</t>
  </si>
  <si>
    <t>Polystyrol expandiert, 44% Recyclinganteil, SwissporEPS Roof Eco</t>
  </si>
  <si>
    <t>Polystyrène expansé, fraction recyclée 44%, SwissporEPS Roof Eco</t>
  </si>
  <si>
    <t>10.004.03</t>
  </si>
  <si>
    <t>99E3A2B4-CE0F-4E7A-AECB-9AA35D2FABAF</t>
  </si>
  <si>
    <t>Polystyrol expandiert, 100% Recyclinganteil, SwissporEPS R 100%</t>
  </si>
  <si>
    <t>Polystyrène expansé, fraction recyclée 100%, SwissporEPS R 100%</t>
  </si>
  <si>
    <t>604F2ECA-F888-49C4-9FA5-C206BC37E889</t>
  </si>
  <si>
    <t>Polystyrol extrudiert (XPS)</t>
  </si>
  <si>
    <t>30-35</t>
  </si>
  <si>
    <t>Polystyrène extrudé (XPS)</t>
  </si>
  <si>
    <t>10.005.01</t>
  </si>
  <si>
    <t>ACF64203-B038-4EAF-B297-53D8C48F8A42</t>
  </si>
  <si>
    <t>Polystyrol extrudiert, SwissporXPS</t>
  </si>
  <si>
    <t>Polystyrène extrudé, SwissporXPS</t>
  </si>
  <si>
    <t>D23B8D09-6CCC-42B7-B54D-B67BEEEC54DD</t>
  </si>
  <si>
    <t>Polyurethan (PUR/PIR)</t>
  </si>
  <si>
    <t>91.039</t>
  </si>
  <si>
    <t>Entsorgung, Wäremdämmstoffe Polyurethan</t>
  </si>
  <si>
    <t>Polyuréthane (PUR/PIR)</t>
  </si>
  <si>
    <r>
      <rPr>
        <sz val="10"/>
        <color rgb="FFFF0000"/>
        <rFont val="Arial"/>
        <family val="2"/>
      </rPr>
      <t>Élimination, isolant thermique de polyuréthane</t>
    </r>
  </si>
  <si>
    <t>10.006.01</t>
  </si>
  <si>
    <t>575A32F0-D99A-4ADE-A360-8E770639A5E3</t>
  </si>
  <si>
    <t>Polyurethan, SwissporPIR</t>
  </si>
  <si>
    <t>Polyuréthane, SwissporPIR</t>
  </si>
  <si>
    <t>328C6FA7-DA92-462A-9CC7-6D0DB5CCE2D3</t>
  </si>
  <si>
    <t>Schaumglas</t>
  </si>
  <si>
    <t>100-165</t>
  </si>
  <si>
    <t>10.007.01</t>
  </si>
  <si>
    <t>6bbf201f-48e8-4866-9dff-f6f2e3105ec6</t>
  </si>
  <si>
    <t>Schaumglas, GLAPOR</t>
  </si>
  <si>
    <t>Verre cellulaire, GLAPOR</t>
  </si>
  <si>
    <t>10.013</t>
  </si>
  <si>
    <t>BEB5B222-85E0-44DB-891D-851DF16EEA31</t>
  </si>
  <si>
    <t>Schaumglasschotter</t>
  </si>
  <si>
    <t>125-150</t>
  </si>
  <si>
    <t>Gravier de verre cellulaire</t>
  </si>
  <si>
    <t>10.013.01</t>
  </si>
  <si>
    <t>62F9139A-7A1D-40DD-90F8-38B52AF993C4</t>
  </si>
  <si>
    <t>Schaumglasschotter, Misapor</t>
  </si>
  <si>
    <t>Gravier de verre cellulaire, Misapor</t>
  </si>
  <si>
    <t>A3BBA042-97AF-4B5C-AF00-E049CEF1A557</t>
  </si>
  <si>
    <t>Steinwolle</t>
  </si>
  <si>
    <t>32-160</t>
  </si>
  <si>
    <t>10.008.01</t>
  </si>
  <si>
    <t>194F45E4-A08A-427B-A490-999934D5D610</t>
  </si>
  <si>
    <t>Steinwolle, Flumroc</t>
  </si>
  <si>
    <t>Laine de roche, Flumroc</t>
  </si>
  <si>
    <t>10.015</t>
  </si>
  <si>
    <t>92766C16-5D0D-44ED-9F92-C15AA32DECCE</t>
  </si>
  <si>
    <t>Strohballenwand</t>
  </si>
  <si>
    <t>91.122</t>
  </si>
  <si>
    <t>Entsorgungsmix, Strohballenwand</t>
  </si>
  <si>
    <t>Botte de paille pour la construction</t>
  </si>
  <si>
    <r>
      <rPr>
        <sz val="10"/>
        <rFont val="Arial"/>
        <family val="2"/>
      </rPr>
      <t>Élimination, mur en botte de paille</t>
    </r>
  </si>
  <si>
    <t>10.009</t>
  </si>
  <si>
    <t>B9689582-8BDE-4FE1-849D-BBBED840E410</t>
  </si>
  <si>
    <t>Weichfaserplatte</t>
  </si>
  <si>
    <t>91.051</t>
  </si>
  <si>
    <t>Entsorgung, Weichfaserplatte</t>
  </si>
  <si>
    <t>Panneau de fibres mou</t>
  </si>
  <si>
    <r>
      <rPr>
        <sz val="10"/>
        <color rgb="FFFF0000"/>
        <rFont val="Arial"/>
        <family val="2"/>
      </rPr>
      <t>Élimination, panneau de fibres souple</t>
    </r>
  </si>
  <si>
    <t>858771D5-96F5-42C9-AEE3-51D3BE1879F7</t>
  </si>
  <si>
    <t>Zellulosefasern</t>
  </si>
  <si>
    <t>91.046</t>
  </si>
  <si>
    <t>Entsorgung, Papier</t>
  </si>
  <si>
    <t>35-60</t>
  </si>
  <si>
    <t>Fibres de cellulose (soufflées)</t>
  </si>
  <si>
    <r>
      <rPr>
        <sz val="10"/>
        <color rgb="FFFF0000"/>
        <rFont val="Arial"/>
        <family val="2"/>
      </rPr>
      <t>Élimination, papier</t>
    </r>
  </si>
  <si>
    <t>10.010.01</t>
  </si>
  <si>
    <t>1F31C383-B2A1-490D-AB0F-B3EA2A24D804</t>
  </si>
  <si>
    <t>Zellulosefasern, Isofloc</t>
  </si>
  <si>
    <t>Fibres de cellulose (soufflées), Isofloc</t>
  </si>
  <si>
    <t>11</t>
  </si>
  <si>
    <t>Bodenbeläge</t>
  </si>
  <si>
    <t>Revêtements de sol</t>
  </si>
  <si>
    <t>11.001</t>
  </si>
  <si>
    <t>D5660BDD-EC47-4D6A-B3C1-3EA06F77EA89</t>
  </si>
  <si>
    <t>2K-Fliessbelag Industrie (Epoxidharz), 2.25 mm</t>
  </si>
  <si>
    <t>91.002</t>
  </si>
  <si>
    <t>Entsorgung, 2K-Fliessbelag Industrie</t>
  </si>
  <si>
    <t>Revêtement coulé à 2 comp., industrie (résine époxy), 2,25 mm</t>
  </si>
  <si>
    <r>
      <rPr>
        <sz val="10"/>
        <color rgb="FFFF0000"/>
        <rFont val="Arial"/>
        <family val="2"/>
      </rPr>
      <t>Élimination, revêtement coulé à 2 comp. industrie</t>
    </r>
  </si>
  <si>
    <t>11.002</t>
  </si>
  <si>
    <t>4E8C7D2C-2FC7-4E38-AB39-049E58E9CFCC</t>
  </si>
  <si>
    <t>2K-Fliessbelag Wohnen/Verwaltung (Epoxidharz, PU), 2 mm</t>
  </si>
  <si>
    <t>91.003</t>
  </si>
  <si>
    <t>Entsorgung, 2K-Fliessbelag Wohnen</t>
  </si>
  <si>
    <t>Revêtement coulé à 2 comp., habitation/admin. (résine époxy PU), 2 mm</t>
  </si>
  <si>
    <r>
      <rPr>
        <sz val="10"/>
        <color rgb="FFFF0000"/>
        <rFont val="Arial"/>
        <family val="2"/>
      </rPr>
      <t>Élimination, revêtement coulé à 2 comp. Habitation</t>
    </r>
  </si>
  <si>
    <t>11.003</t>
  </si>
  <si>
    <t>2F71DB77-CF3D-49DC-8DCA-C25203ED860B</t>
  </si>
  <si>
    <t>Gummigranulat versiegelt, 7.5 mm</t>
  </si>
  <si>
    <t>91.004</t>
  </si>
  <si>
    <t>Entsorgung, Bodenbelag organisch, Gummigranulat</t>
  </si>
  <si>
    <t>Caoutchouc granulé, vitrifié, 7,5 mm</t>
  </si>
  <si>
    <r>
      <rPr>
        <sz val="10"/>
        <color rgb="FFFF0000"/>
        <rFont val="Arial"/>
        <family val="2"/>
      </rPr>
      <t>Élimination, revêtement organique, granulés de caoutchouc</t>
    </r>
  </si>
  <si>
    <t>11.004</t>
  </si>
  <si>
    <t>B0C749DA-292B-417D-8E38-65766E052FBC</t>
  </si>
  <si>
    <t>Gussasphalt, 27.5 mm</t>
  </si>
  <si>
    <t>91.001</t>
  </si>
  <si>
    <t>Entsorgung, Asphalt, 0.1% Wasser, in Reaktordeponie</t>
  </si>
  <si>
    <t>Asphalte coulé, 27,5 mm</t>
  </si>
  <si>
    <r>
      <rPr>
        <sz val="10"/>
        <color rgb="FFFF0000"/>
        <rFont val="Arial"/>
        <family val="2"/>
      </rPr>
      <t>Élimination, asphalte, 0,1 % d</t>
    </r>
    <r>
      <rPr>
        <sz val="10"/>
        <color rgb="FFFF0000"/>
        <rFont val="Arial"/>
        <family val="2"/>
      </rPr>
      <t>'eau, dans une décharge bioactive</t>
    </r>
  </si>
  <si>
    <t>FC78B567-FFF2-432F-98A2-07A1420AA8BD</t>
  </si>
  <si>
    <t>Hartbeton einschichtig, 27.5 mm</t>
  </si>
  <si>
    <t>91.005</t>
  </si>
  <si>
    <t>Entsorgung, Bodenbelag, Hartbeton einschichtig</t>
  </si>
  <si>
    <r>
      <rPr>
        <sz val="10"/>
        <color rgb="FFFF0000"/>
        <rFont val="Arial"/>
        <family val="2"/>
      </rPr>
      <t>Élimination, revêtement, béton dur, 1 couche</t>
    </r>
  </si>
  <si>
    <t>11.006</t>
  </si>
  <si>
    <t>160EF365-BB74-41C8-AF40-5256811D83C3</t>
  </si>
  <si>
    <t>Hartbeton zweischichtig, 35 mm</t>
  </si>
  <si>
    <t>91.006</t>
  </si>
  <si>
    <t>Entsorgung, Bodenbelag, Hartbeton zweischichtig</t>
  </si>
  <si>
    <t>Béton dur, 2 couches, 35 mm</t>
  </si>
  <si>
    <r>
      <rPr>
        <sz val="10"/>
        <color rgb="FFFF0000"/>
        <rFont val="Arial"/>
        <family val="2"/>
      </rPr>
      <t>Élimination, revêtement, béton dur, 2 couches</t>
    </r>
  </si>
  <si>
    <t>11.007</t>
  </si>
  <si>
    <t>63EE2517-0078-4246-B833-08D253528653</t>
  </si>
  <si>
    <t>Kautschuk, 2 mm</t>
  </si>
  <si>
    <t>91.007</t>
  </si>
  <si>
    <t>Entsorgung, Bodenbelag, Kautschuk</t>
  </si>
  <si>
    <t>Caoutchouc, 2 mm</t>
  </si>
  <si>
    <r>
      <rPr>
        <sz val="10"/>
        <color rgb="FFFF0000"/>
        <rFont val="Arial"/>
        <family val="2"/>
      </rPr>
      <t>Élimination, revêtement, caoutchouc</t>
    </r>
  </si>
  <si>
    <t>414EEBBE-85C4-4869-A411-29C0097ADA38</t>
  </si>
  <si>
    <t>Keramik-/Steinzeugplatte, 9 mm</t>
  </si>
  <si>
    <t>91.152</t>
  </si>
  <si>
    <t>Entsorgung, Keramikziegel</t>
  </si>
  <si>
    <r>
      <rPr>
        <sz val="10"/>
        <color rgb="FFFF0000"/>
        <rFont val="Arial"/>
        <family val="2"/>
      </rPr>
      <t>Élimination, tuiles en céramique</t>
    </r>
  </si>
  <si>
    <t>11.009</t>
  </si>
  <si>
    <t>09B8473A-DDB4-42D4-977E-C9CA914B54AC</t>
  </si>
  <si>
    <t>Kork Fertigparkett, 10.5 mm</t>
  </si>
  <si>
    <t>91.008</t>
  </si>
  <si>
    <t>Entsorgung, Korkparkett</t>
  </si>
  <si>
    <t>Parquet préfabriqué en liège, 10,5 mm</t>
  </si>
  <si>
    <r>
      <rPr>
        <sz val="10"/>
        <color rgb="FFFF0000"/>
        <rFont val="Arial"/>
        <family val="2"/>
      </rPr>
      <t>Élimination, parquet en liège</t>
    </r>
  </si>
  <si>
    <t>11.010</t>
  </si>
  <si>
    <t>BF645614-152F-4820-8AA9-45B474C60CE2</t>
  </si>
  <si>
    <t>Kork PVC-beschichtet, 3.2 mm</t>
  </si>
  <si>
    <t>91.009</t>
  </si>
  <si>
    <t>Entsorgung, Bodenbelag, Kork PVC-beschichtet</t>
  </si>
  <si>
    <t xml:space="preserve">Parquet en liège, revêtement PVC, 3,2 mm </t>
  </si>
  <si>
    <r>
      <rPr>
        <sz val="10"/>
        <color rgb="FFFF0000"/>
        <rFont val="Arial"/>
        <family val="2"/>
      </rPr>
      <t>Élimination, revêtement, liège, revêtement PVC</t>
    </r>
  </si>
  <si>
    <t>11.011</t>
  </si>
  <si>
    <t>32D89BCF-BBDA-4EC1-B2B8-E4EE731B5D82</t>
  </si>
  <si>
    <t>Korkparkett geölt/versiegelt, 5.3 mm</t>
  </si>
  <si>
    <t xml:space="preserve">Parquet en liège, huilé et vitrifié, 5,3 mm </t>
  </si>
  <si>
    <t>11.012</t>
  </si>
  <si>
    <t>D6E43E7F-94A3-46BC-8327-A37DC2283E3A</t>
  </si>
  <si>
    <t>Kunststeinplatte zementgebunden, 10 mm</t>
  </si>
  <si>
    <t>91.153</t>
  </si>
  <si>
    <t>Entsorgung, Kunststeinziegel</t>
  </si>
  <si>
    <t>Dalle en pierre artificielle, liée au ciment, 10 mm</t>
  </si>
  <si>
    <r>
      <rPr>
        <sz val="10"/>
        <color rgb="FFFF0000"/>
        <rFont val="Arial"/>
        <family val="2"/>
      </rPr>
      <t>Élimination, tuiles en pierre artificielle</t>
    </r>
  </si>
  <si>
    <t>11.013</t>
  </si>
  <si>
    <t>927E7BE7-E17F-4B77-B6A5-F1E755ED4C9D</t>
  </si>
  <si>
    <t>Laminat, 8.5 mm</t>
  </si>
  <si>
    <t>91.011</t>
  </si>
  <si>
    <t>Entsorgung, Laminat, 5% Bindemittel</t>
  </si>
  <si>
    <t>Stratifiés, 8,5 mm</t>
  </si>
  <si>
    <r>
      <rPr>
        <sz val="10"/>
        <color rgb="FFFF0000"/>
        <rFont val="Arial"/>
        <family val="2"/>
      </rPr>
      <t>Élimination, revêtement, stratifiés, agent liant 5 %</t>
    </r>
  </si>
  <si>
    <t>219ECD16-D974-452B-9D34-CB93A1C2087D</t>
  </si>
  <si>
    <t>Linoleum, 2.5 mm</t>
  </si>
  <si>
    <t>91.012</t>
  </si>
  <si>
    <t>Entsorgung, Linoleum, 15% Bindemittel</t>
  </si>
  <si>
    <t>Linoléum, 2,5 mm</t>
  </si>
  <si>
    <r>
      <rPr>
        <sz val="10"/>
        <color rgb="FFFF0000"/>
        <rFont val="Arial"/>
        <family val="2"/>
      </rPr>
      <t>Élimination, revêtement, linoléum, agent liant 15 %</t>
    </r>
  </si>
  <si>
    <t>11.015</t>
  </si>
  <si>
    <t>A94BDF7C-82AA-49BB-A7D8-BA6C9DE53D49</t>
  </si>
  <si>
    <t>Natursteinplatte geschliffen, 15 mm</t>
  </si>
  <si>
    <t>91.154</t>
  </si>
  <si>
    <t>Entsorgung, Natursteinziegel</t>
  </si>
  <si>
    <t>Dalle en pierre naturelle rectifiée, 15 mm</t>
  </si>
  <si>
    <r>
      <rPr>
        <sz val="10"/>
        <color rgb="FFFF0000"/>
        <rFont val="Arial"/>
        <family val="2"/>
      </rPr>
      <t>Élimination, tuiles en pierre naturelle</t>
    </r>
  </si>
  <si>
    <t>11.015.01</t>
  </si>
  <si>
    <t>C5248FB7-477A-414E-9767-D520A592AD8F</t>
  </si>
  <si>
    <t>Natursteinplatte geschliffen, Europa, 15 mm</t>
  </si>
  <si>
    <t>Dalle en pierre naturelle rectifiée, Europe, 15 mm</t>
  </si>
  <si>
    <t>11.015.02</t>
  </si>
  <si>
    <t>31E6D875-1CEC-4AB8-BA9F-4515F540EF64</t>
  </si>
  <si>
    <t>Natursteinplatte geschliffen, Schweiz, 15 mm</t>
  </si>
  <si>
    <t>Dalle en pierre naturelle rectifiée, Suisse, 15 mm</t>
  </si>
  <si>
    <t>11.015.03</t>
  </si>
  <si>
    <t>8248313F-D90D-4DE8-B4A4-B9DBE3FD1D47</t>
  </si>
  <si>
    <t>Natursteinplatte geschliffen, Übersee, 15 mm</t>
  </si>
  <si>
    <t>Dalle en pierre naturelle rectifiée, d'outre-mer, 15 mm</t>
  </si>
  <si>
    <t>11.016</t>
  </si>
  <si>
    <t>09C392C6-F1C7-421F-B4DA-536C97AB36C7</t>
  </si>
  <si>
    <t>Natursteinplatte geschnitten, 15 mm</t>
  </si>
  <si>
    <t>Dalle en pierre naturelle coupée, 15 mm</t>
  </si>
  <si>
    <t>11.017</t>
  </si>
  <si>
    <t>09098784-8F4C-4C60-BD8D-39EB2145D8C4</t>
  </si>
  <si>
    <t>Natursteinplatte poliert, 15 mm</t>
  </si>
  <si>
    <t>Dalle en pierre naturelle polie, 15 mm</t>
  </si>
  <si>
    <t>E7E6539A-A99C-41CA-B367-9F23E95AB60B</t>
  </si>
  <si>
    <t>Parkett 2-Schicht werkversiegelt, 11 mm</t>
  </si>
  <si>
    <t>91.013</t>
  </si>
  <si>
    <t>Entsorgung, Holzparkett, 2-Schicht</t>
  </si>
  <si>
    <r>
      <rPr>
        <sz val="10"/>
        <color rgb="FFFF0000"/>
        <rFont val="Arial"/>
        <family val="2"/>
      </rPr>
      <t>Élimination, revêtement, parquet 2 plis</t>
    </r>
  </si>
  <si>
    <t>11.019</t>
  </si>
  <si>
    <t>3A16EE50-78D2-41C3-B04C-081938045128</t>
  </si>
  <si>
    <t>Parkett 3-Schicht werkversiegelt, 15 mm</t>
  </si>
  <si>
    <t>91.014</t>
  </si>
  <si>
    <t>Entsorgung, Holzparkett, 3-Schicht</t>
  </si>
  <si>
    <t>Parquet, 3 plis, vitrifié d'usine, 15 mm</t>
  </si>
  <si>
    <r>
      <rPr>
        <sz val="10"/>
        <color rgb="FFFF0000"/>
        <rFont val="Arial"/>
        <family val="2"/>
      </rPr>
      <t>Élimination, revêtement, parquet 3 plis</t>
    </r>
  </si>
  <si>
    <t>11.020</t>
  </si>
  <si>
    <t>3CBF6DF7-FB0E-43EC-B297-DFBA6B9E4283</t>
  </si>
  <si>
    <t>Parkett Mosaik werkversiegelt, 8 mm</t>
  </si>
  <si>
    <t>91.015</t>
  </si>
  <si>
    <t>Entsorgung, Holzparkett Mosaik</t>
  </si>
  <si>
    <t>Parquet type mosaïque, vitrifié d'usine, 8 mm</t>
  </si>
  <si>
    <r>
      <rPr>
        <sz val="10"/>
        <color rgb="FFFF0000"/>
        <rFont val="Arial"/>
        <family val="2"/>
      </rPr>
      <t>Élimination, revêtement, parquet mosaïque</t>
    </r>
  </si>
  <si>
    <t>11.021</t>
  </si>
  <si>
    <t>07714EA8-1659-4E92-BF5B-CE52120C7B4F</t>
  </si>
  <si>
    <t>PVC homogen, 2 mm</t>
  </si>
  <si>
    <t>91.016</t>
  </si>
  <si>
    <t>Entsorgung, Kunststoffe, PVC</t>
  </si>
  <si>
    <t>PVC homogène, 2 mm</t>
  </si>
  <si>
    <r>
      <rPr>
        <sz val="10"/>
        <color rgb="FFFF0000"/>
        <rFont val="Arial"/>
        <family val="2"/>
      </rPr>
      <t>Élimination, plastique, PVC</t>
    </r>
  </si>
  <si>
    <t>11.022</t>
  </si>
  <si>
    <t>9C7A2743-77DD-4CE8-B1C7-A412157B907C</t>
  </si>
  <si>
    <t>Steinholz versiegelt, 16.5 mm</t>
  </si>
  <si>
    <t>91.017</t>
  </si>
  <si>
    <t>Entsorgung, Steinholzboden</t>
  </si>
  <si>
    <t>Xylolithe, vitrifié, 16.5 mm</t>
  </si>
  <si>
    <r>
      <rPr>
        <sz val="10"/>
        <color rgb="FFFF0000"/>
        <rFont val="Arial"/>
        <family val="2"/>
      </rPr>
      <t>Élimination, revêtement de sol de xylolithe</t>
    </r>
  </si>
  <si>
    <t>11.023</t>
  </si>
  <si>
    <t>C8140CBD-C5D3-40B0-9AEF-498C98AD7909</t>
  </si>
  <si>
    <t>Synthetische thermoplastische Beläge (TPO), 2 mm</t>
  </si>
  <si>
    <t>91.018</t>
  </si>
  <si>
    <t>Entsorgung, synthetische thermoplastische Beläge (TPO)</t>
  </si>
  <si>
    <t>Revêtements synthétiques, thermoplastiques (POT), 2 mm</t>
  </si>
  <si>
    <r>
      <rPr>
        <sz val="10"/>
        <color rgb="FFFF0000"/>
        <rFont val="Arial"/>
        <family val="2"/>
      </rPr>
      <t>Élimination, revêtements synthétiques, thermoplastiques (POT)</t>
    </r>
  </si>
  <si>
    <t>11.024</t>
  </si>
  <si>
    <t>92E45A3D-900C-4492-ADA8-61B2DD0019C8</t>
  </si>
  <si>
    <t>Teppich Kunstfaser getuftet</t>
  </si>
  <si>
    <t>91.019</t>
  </si>
  <si>
    <t>Entsorgung, Teppich Kunstfaser getuftet</t>
  </si>
  <si>
    <t>Moquette en fibres synthétiques, tuftée</t>
  </si>
  <si>
    <r>
      <rPr>
        <sz val="10"/>
        <color rgb="FFFF0000"/>
        <rFont val="Arial"/>
        <family val="2"/>
      </rPr>
      <t>Élimination, moquette en fibres synthétiques, tuftée</t>
    </r>
  </si>
  <si>
    <t>11.025</t>
  </si>
  <si>
    <t>E5FD6450-C5AC-4847-BCCD-D0F029C154E6</t>
  </si>
  <si>
    <t>Teppich Nadelfilz</t>
  </si>
  <si>
    <t>91.020</t>
  </si>
  <si>
    <t>Entsorgung, Teppich Nadelfilz</t>
  </si>
  <si>
    <t>Moquette en feutre aiguilleté</t>
  </si>
  <si>
    <r>
      <rPr>
        <sz val="10"/>
        <color rgb="FFFF0000"/>
        <rFont val="Arial"/>
        <family val="2"/>
      </rPr>
      <t>Élimination, moquette en feutre aiguilleté</t>
    </r>
  </si>
  <si>
    <t>11.026</t>
  </si>
  <si>
    <t>9C22D41F-BB8A-428D-A09A-853D819ABCDF</t>
  </si>
  <si>
    <t>Teppich Naturfaser</t>
  </si>
  <si>
    <t>91.021</t>
  </si>
  <si>
    <t>Entsorgung, Teppich Naturfaser</t>
  </si>
  <si>
    <t>Moquette en fibres naturelles</t>
  </si>
  <si>
    <r>
      <rPr>
        <sz val="10"/>
        <color rgb="FFFF0000"/>
        <rFont val="Arial"/>
        <family val="2"/>
      </rPr>
      <t>Élimination, moquette en fibres naturelles</t>
    </r>
  </si>
  <si>
    <t>11.027</t>
  </si>
  <si>
    <t>3C9838E9-2A6B-46EF-B6B7-E310A1B0A6B8</t>
  </si>
  <si>
    <t>Terrazzo versiegelt, 40 mm</t>
  </si>
  <si>
    <t>91.022</t>
  </si>
  <si>
    <t>Entsorgung, Terrazzo</t>
  </si>
  <si>
    <t>Terrazzo vitrifié, 40 mm</t>
  </si>
  <si>
    <r>
      <rPr>
        <sz val="10"/>
        <color rgb="FFFF0000"/>
        <rFont val="Arial"/>
        <family val="2"/>
      </rPr>
      <t>Élimination, terrazzo</t>
    </r>
  </si>
  <si>
    <t>12</t>
  </si>
  <si>
    <t>Türen</t>
  </si>
  <si>
    <t>35881663-8dbf-472c-8690-957d157a54a2</t>
  </si>
  <si>
    <t>91.162</t>
  </si>
  <si>
    <t>Entsorgung, Aussentüre, Aluminium, Glaseinsatz</t>
  </si>
  <si>
    <r>
      <rPr>
        <sz val="10"/>
        <color rgb="FFFF0000"/>
        <rFont val="Arial"/>
        <family val="2"/>
      </rPr>
      <t>Élimination, porte extérieure, aluminium, plaque de verre</t>
    </r>
  </si>
  <si>
    <t>12.006</t>
  </si>
  <si>
    <t>2c4d1c2a-496b-4d2f-8e9f-ce621e4a1afb</t>
  </si>
  <si>
    <t>Aussentüre, Aluminium, Paneelfüllung</t>
  </si>
  <si>
    <t>91.163</t>
  </si>
  <si>
    <t>Entsorgung, Aussentüre, Aluminium, Paneelfüllung</t>
  </si>
  <si>
    <t>Portes extérieures aluminium, avec panneau</t>
  </si>
  <si>
    <r>
      <rPr>
        <sz val="10"/>
        <color rgb="FFFF0000"/>
        <rFont val="Arial"/>
        <family val="2"/>
      </rPr>
      <t>Élimination, porte extérieure, aluminium, remplissage des panneaux</t>
    </r>
  </si>
  <si>
    <t>12.008</t>
  </si>
  <si>
    <t>ff27a77b-badc-4527-9373-29f79906804c</t>
  </si>
  <si>
    <t>Aussentüre, Holz</t>
  </si>
  <si>
    <t>91.164</t>
  </si>
  <si>
    <t>Entsorgung, Gebäude, Aussentüre, Holz</t>
  </si>
  <si>
    <t>Portes extérieures bois</t>
  </si>
  <si>
    <r>
      <rPr>
        <sz val="10"/>
        <color rgb="FFFF0000"/>
        <rFont val="Arial"/>
        <family val="2"/>
      </rPr>
      <t>Élimination, bâtiment, porte extérieure, bois</t>
    </r>
  </si>
  <si>
    <t>12.001</t>
  </si>
  <si>
    <t>4C49FCC1-4EF1-41DC-8754-E19D12D113FA</t>
  </si>
  <si>
    <t>Aussentüre, Holz, aluminiumbeplankt</t>
  </si>
  <si>
    <t>91.024</t>
  </si>
  <si>
    <t>Entsorgung, Gebäude, Aussentüre, Holz-Aluminium</t>
  </si>
  <si>
    <t xml:space="preserve">Portes extérieures bois, doublées alu </t>
  </si>
  <si>
    <r>
      <rPr>
        <sz val="10"/>
        <color rgb="FFFF0000"/>
        <rFont val="Arial"/>
        <family val="2"/>
      </rPr>
      <t>Élimination, bâtiment, portes extérieures bois-aluminium</t>
    </r>
  </si>
  <si>
    <t>12.002</t>
  </si>
  <si>
    <t>1B535A14-092B-4B01-9882-459671D72379</t>
  </si>
  <si>
    <t>Aussentüre, Holz, Glaseinsatz</t>
  </si>
  <si>
    <t>91.025</t>
  </si>
  <si>
    <t>Entsorgung, Gebäude, Aussentüre, Holz-Glas</t>
  </si>
  <si>
    <t>Portes extérieures bois, avec vitrage</t>
  </si>
  <si>
    <r>
      <rPr>
        <sz val="10"/>
        <color rgb="FFFF0000"/>
        <rFont val="Arial"/>
        <family val="2"/>
      </rPr>
      <t>Élimination, bâtiment, portes extérieures bois-verre</t>
    </r>
  </si>
  <si>
    <t>12.007</t>
  </si>
  <si>
    <t>70161147-1156-4b2d-b954-d6592929a8ef</t>
  </si>
  <si>
    <t>Innentüre, Aluminium, Glaseinsatz</t>
  </si>
  <si>
    <t>91.165</t>
  </si>
  <si>
    <t>Entsorgung, Innentüre, Aluminium, Glaseinsatz</t>
  </si>
  <si>
    <t>Portes intérieures aluminium, avec vitrage</t>
  </si>
  <si>
    <r>
      <rPr>
        <sz val="10"/>
        <color rgb="FFFF0000"/>
        <rFont val="Arial"/>
        <family val="2"/>
      </rPr>
      <t>Élimination, porte intérieure, aluminium, vitrage</t>
    </r>
  </si>
  <si>
    <t>bfa8d003-c41c-4c53-9875-5c924683a1d2</t>
  </si>
  <si>
    <t>Innentüre, Funktionstüre, Holz, Holzrahmen</t>
  </si>
  <si>
    <t>91.166</t>
  </si>
  <si>
    <t>Entsorgung, Gebäude, Funktionstüre, Holz, Holzrahmen</t>
  </si>
  <si>
    <t>Porte intérieure, porte fonctionnelle, bois, cadre en bois</t>
  </si>
  <si>
    <r>
      <rPr>
        <sz val="10"/>
        <color rgb="FFFF0000"/>
        <rFont val="Arial"/>
        <family val="2"/>
      </rPr>
      <t>Élimination, bâtiment, porte fonctionnelle, bois, cadre en bois</t>
    </r>
  </si>
  <si>
    <t>12.012</t>
  </si>
  <si>
    <t>0be05dde-ba72-4acc-bf8d-278e526584d7</t>
  </si>
  <si>
    <t>Innentüre, Funktionstüre, Holz, Stahlzarge</t>
  </si>
  <si>
    <t>91.167</t>
  </si>
  <si>
    <t>Entsorgung, Gebäude, Funktionstüre, Holz, Stahlzarge</t>
  </si>
  <si>
    <t>Porte intérieure, porte fonctionnelle, bois, huisserie en acier</t>
  </si>
  <si>
    <r>
      <rPr>
        <sz val="10"/>
        <color rgb="FFFF0000"/>
        <rFont val="Arial"/>
        <family val="2"/>
      </rPr>
      <t>Élimination, bâtiment, porte fonctionnelle, bois, cadre en acier</t>
    </r>
  </si>
  <si>
    <t>12.004</t>
  </si>
  <si>
    <t>A1868DC5-9456-4291-865A-499B33A5FCD1</t>
  </si>
  <si>
    <t>Innentüre, Zimmertüre, Holz, Glaseinsatz, Holzrahmen</t>
  </si>
  <si>
    <t>91.034</t>
  </si>
  <si>
    <t>Entsorgung, Gebäude, Innentüre, Holz, Glaseinsatz, Holzrahmen</t>
  </si>
  <si>
    <t>Porte intérieure, porte de chambre, bois, vitrage, cadre en bois</t>
  </si>
  <si>
    <r>
      <rPr>
        <sz val="10"/>
        <color rgb="FFFF0000"/>
        <rFont val="Arial"/>
        <family val="2"/>
      </rPr>
      <t>Élimination, bâtiment, portes intérieures bois-verre</t>
    </r>
  </si>
  <si>
    <t>12.011</t>
  </si>
  <si>
    <t>baf5dab7-6a2d-47f6-a64c-867e2227b969</t>
  </si>
  <si>
    <t>Innentüre, Zimmertüre, Holz, Glaseinsatz, Stahlzarge</t>
  </si>
  <si>
    <t>91.168</t>
  </si>
  <si>
    <t>Entsorgung, Gebäude, Innentüre, Holz, Glaseinsatz, Stahlzarge</t>
  </si>
  <si>
    <t>Porte intérieure, porte de chambre, bois, vitrage, huisserie en acier</t>
  </si>
  <si>
    <r>
      <rPr>
        <sz val="10"/>
        <color rgb="FFFF0000"/>
        <rFont val="Arial"/>
        <family val="2"/>
      </rPr>
      <t>Élimination, bâtiment, porte intérieure, bois, vitrage, cadre en acier</t>
    </r>
  </si>
  <si>
    <t>12.003</t>
  </si>
  <si>
    <t>767D89CB-9927-4BDD-ACD3-FCC79C32B97E</t>
  </si>
  <si>
    <t>Innentüre, Zimmertüre, Holz, Holzrahmen</t>
  </si>
  <si>
    <t>91.035</t>
  </si>
  <si>
    <t>Entsorgung, Gebäude, Innentüre, Holz, Holzrahmen</t>
  </si>
  <si>
    <t>Porte intérieure, porte de chambre, bois, cadre en bois</t>
  </si>
  <si>
    <r>
      <rPr>
        <sz val="10"/>
        <color rgb="FFFF0000"/>
        <rFont val="Arial"/>
        <family val="2"/>
      </rPr>
      <t>Élimination, bâtiment, portes intérieures bois, cadre en bois</t>
    </r>
  </si>
  <si>
    <t>12.010</t>
  </si>
  <si>
    <t>0ea0aaec-c7a6-42ab-97cb-d02848277eb6</t>
  </si>
  <si>
    <t>Innentüre, Zimmertüre, Holz, Stahlzarge</t>
  </si>
  <si>
    <t>91.169</t>
  </si>
  <si>
    <t>Entsorgung, Gebäude, Innentüre, Holz, Stahlzarge</t>
  </si>
  <si>
    <t>Porte intérieure, porte de chambre, bois, huisserie en acier</t>
  </si>
  <si>
    <r>
      <rPr>
        <sz val="10"/>
        <color rgb="FFFF0000"/>
        <rFont val="Arial"/>
        <family val="2"/>
      </rPr>
      <t>Élimination, bâtiment, porte intérieure, bois, cadre en acier</t>
    </r>
  </si>
  <si>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</si>
  <si>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</si>
  <si>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13</t>
  </si>
  <si>
    <t>Rohre</t>
  </si>
  <si>
    <t>Tuyaux</t>
  </si>
  <si>
    <t>13.001</t>
  </si>
  <si>
    <t>D145CC3E-3828-487D-8C94-C2CDC23BF922</t>
  </si>
  <si>
    <t>Acrylnitril-Butadien-Styrol (ABS)</t>
  </si>
  <si>
    <t>91.155</t>
  </si>
  <si>
    <t>Entsorgung, Kunststoff-Rohre, ABS</t>
  </si>
  <si>
    <t>Acrylonitril-butadiène-styrène (ABS)</t>
  </si>
  <si>
    <r>
      <rPr>
        <sz val="10"/>
        <color rgb="FFFF0000"/>
        <rFont val="Arial"/>
        <family val="2"/>
      </rPr>
      <t>Élimination, tuyaux en plastique, ABS</t>
    </r>
  </si>
  <si>
    <t>13.005</t>
  </si>
  <si>
    <t>BF5ADE50-BDAD-419B-B7E5-9A3F7F6938A3</t>
  </si>
  <si>
    <t>Gusseisen</t>
  </si>
  <si>
    <t>Fer de fonte</t>
  </si>
  <si>
    <t>0DB3712B-3B7E-44BB-B56C-A49DDED3D465</t>
  </si>
  <si>
    <t>Polyethylen (PE)</t>
  </si>
  <si>
    <t>91.174</t>
  </si>
  <si>
    <t>Entsorgung, Kunststoffrohre, PE oder PP</t>
  </si>
  <si>
    <t>Polyéthylène (HDPE)</t>
  </si>
  <si>
    <r>
      <rPr>
        <sz val="10"/>
        <color rgb="FFFF0000"/>
        <rFont val="Arial"/>
        <family val="2"/>
      </rPr>
      <t>Élimination, tuyau plastique en PE ou PP</t>
    </r>
  </si>
  <si>
    <t>13.003</t>
  </si>
  <si>
    <t>92B2EFB8-9F95-47EC-963D-114CBE430246</t>
  </si>
  <si>
    <t>Polypropylen (PP)</t>
  </si>
  <si>
    <t>Polypropylène (PP)</t>
  </si>
  <si>
    <t>5A6449C2-62A0-4A42-BF6D-F1E33F5F9480</t>
  </si>
  <si>
    <t>Polyvinylchlorid (PVC)</t>
  </si>
  <si>
    <t>91.156</t>
  </si>
  <si>
    <t>Entsorgung, Kunststoff-Rohre, PVC</t>
  </si>
  <si>
    <t>Chlorure de polyvinyle (PVC)</t>
  </si>
  <si>
    <r>
      <rPr>
        <sz val="10"/>
        <color rgb="FFFF0000"/>
        <rFont val="Arial"/>
        <family val="2"/>
      </rPr>
      <t>Élimination, tuyau plastique en PVC</t>
    </r>
  </si>
  <si>
    <t>14</t>
  </si>
  <si>
    <t>Anstrichstoffe, Beschichtungen</t>
  </si>
  <si>
    <t>Enduits et revêtements</t>
  </si>
  <si>
    <t>14.002</t>
  </si>
  <si>
    <t>07DD2F56-133A-4FBF-A39B-1D374248EB2A</t>
  </si>
  <si>
    <t>Anstrich, lösemittelverdünnbar, 2 Anstriche</t>
  </si>
  <si>
    <t>91.023</t>
  </si>
  <si>
    <t>Entsorgung, Farbe, 2 Schichten</t>
  </si>
  <si>
    <t>Enduit, diluable au solvant, 2 couches</t>
  </si>
  <si>
    <r>
      <rPr>
        <sz val="10"/>
        <color rgb="FFFF0000"/>
        <rFont val="Arial"/>
        <family val="2"/>
      </rPr>
      <t>Élimination, peinture sur bois, 2 couches</t>
    </r>
  </si>
  <si>
    <t>10ACA0B7-B75D-4F51-A3AB-976B923ACA8A</t>
  </si>
  <si>
    <t>Anstrich, wasserverdünnbar, 2 Anstriche</t>
  </si>
  <si>
    <t>1165EF5A-E1A2-4C0D-9307-622DEE107999</t>
  </si>
  <si>
    <t>Bitumenemulsion, 1 Anstrich</t>
  </si>
  <si>
    <t>91.157</t>
  </si>
  <si>
    <t>Entsorgung, Farbe, 1 Schicht</t>
  </si>
  <si>
    <r>
      <rPr>
        <sz val="10"/>
        <color rgb="FFFF0000"/>
        <rFont val="Arial"/>
        <family val="2"/>
      </rPr>
      <t>Élimination, peinture, 1 couche</t>
    </r>
  </si>
  <si>
    <t>14.004</t>
  </si>
  <si>
    <t>F45B12F5-FF80-528A-2C76-A6DABD38F684</t>
  </si>
  <si>
    <t>Emaillieren, Metall</t>
  </si>
  <si>
    <t>keine</t>
  </si>
  <si>
    <t>Émaillage, métal</t>
  </si>
  <si>
    <r>
      <rPr>
        <sz val="10"/>
        <rFont val="Arial"/>
        <family val="2"/>
      </rPr>
      <t>Aucune</t>
    </r>
  </si>
  <si>
    <t>14.005</t>
  </si>
  <si>
    <t>68569EAE-A2FA-E096-D678-497AB362BCCF</t>
  </si>
  <si>
    <t>Pulverbeschichten, Aluminium</t>
  </si>
  <si>
    <t>Revêtement pulvérisé, aluminium</t>
  </si>
  <si>
    <r>
      <rPr>
        <sz val="10"/>
        <rFont val="Arial"/>
        <family val="2"/>
      </rPr>
      <t xml:space="preserve">Aucune </t>
    </r>
  </si>
  <si>
    <t>E9266136-2E91-997B-5E48-CA88AB77279C</t>
  </si>
  <si>
    <t>Pulverbeschichten, Stahl</t>
  </si>
  <si>
    <t>Revêtement pulvérisé, acier</t>
  </si>
  <si>
    <t>14.007</t>
  </si>
  <si>
    <t>3FDD883B-8EDA-4735-987C-5D7CF46F1004</t>
  </si>
  <si>
    <t>Verchromen, Stahl</t>
  </si>
  <si>
    <t>Chromage, acier</t>
  </si>
  <si>
    <t>14.008</t>
  </si>
  <si>
    <t>AAF77F9A-FE78-41CD-BAD5-16DAA6238CC2</t>
  </si>
  <si>
    <t>Verzinken, Stahl</t>
  </si>
  <si>
    <t>Zincage, acier</t>
  </si>
  <si>
    <t>15</t>
  </si>
  <si>
    <t>Kunststoffe</t>
  </si>
  <si>
    <t>Matières plastique</t>
  </si>
  <si>
    <t>15.001</t>
  </si>
  <si>
    <t>78087965-417E-4763-B8B5-4A7910943363</t>
  </si>
  <si>
    <t>Plexiglas (PMMA, Acrylglas)</t>
  </si>
  <si>
    <t>91.158</t>
  </si>
  <si>
    <t>Entsorgung, Kunststoffe aus reinen Kohlenwasserstoffen</t>
  </si>
  <si>
    <t>Plexiglas (PMMA, verre acrylique)</t>
  </si>
  <si>
    <r>
      <rPr>
        <sz val="10"/>
        <color rgb="FFFF0000"/>
        <rFont val="Arial"/>
        <family val="2"/>
      </rPr>
      <t>Élimination, matières plastiques d</t>
    </r>
    <r>
      <rPr>
        <sz val="10"/>
        <color rgb="FFFF0000"/>
        <rFont val="Arial"/>
        <family val="2"/>
      </rPr>
      <t>'hydrocarbures purs</t>
    </r>
  </si>
  <si>
    <t>A5671823-5D7E-A4B1-2A9F-C32E6CA3BCB9</t>
  </si>
  <si>
    <t>Polyamid (PA) glasfaserverstärkt</t>
  </si>
  <si>
    <t>91.159</t>
  </si>
  <si>
    <t>Entsorgung, Kunststoffe, stickstoffhaltig</t>
  </si>
  <si>
    <t xml:space="preserve">Polyamide (PA) renforcé par des fibres de verre </t>
  </si>
  <si>
    <r>
      <rPr>
        <sz val="10"/>
        <color rgb="FFFF0000"/>
        <rFont val="Arial"/>
        <family val="2"/>
      </rPr>
      <t>Élimination, matières plastiques, contenant de l</t>
    </r>
    <r>
      <rPr>
        <sz val="10"/>
        <color rgb="FFFF0000"/>
        <rFont val="Arial"/>
        <family val="2"/>
      </rPr>
      <t>'azote</t>
    </r>
  </si>
  <si>
    <t>15.003</t>
  </si>
  <si>
    <t>464C8985-D30C-40EC-8B26-7E107BCF7F1A</t>
  </si>
  <si>
    <t>Polycarbonat (PC)</t>
  </si>
  <si>
    <t>Polycarbonate (PC)</t>
  </si>
  <si>
    <t>15.004</t>
  </si>
  <si>
    <t>993A7227-F17D-4BFA-8B37-C62C13DC42F5</t>
  </si>
  <si>
    <t>Polyester (UP) glasfaserverstärkt</t>
  </si>
  <si>
    <t>Polyester (UP) renforcé par des fibres de verre</t>
  </si>
  <si>
    <t>15.005</t>
  </si>
  <si>
    <t>CBDADEEB-3B93-32E4-6504-08EF289B6D9B</t>
  </si>
  <si>
    <t>Polystyrol (PS)</t>
  </si>
  <si>
    <t>91.160</t>
  </si>
  <si>
    <t>Entsorgung, Polystyrol</t>
  </si>
  <si>
    <t>Polystyrène (PS)</t>
  </si>
  <si>
    <r>
      <rPr>
        <sz val="10"/>
        <color rgb="FFFF0000"/>
        <rFont val="Arial"/>
        <family val="2"/>
      </rPr>
      <t>Élimination, polystyrène</t>
    </r>
  </si>
  <si>
    <t>Kücheneinbauten und -möbel</t>
  </si>
  <si>
    <t>Installations et meubles de cuisine</t>
  </si>
  <si>
    <t>21.001</t>
  </si>
  <si>
    <t>3C36CA50-3B4E-44CA-8240-EB4B75A84B68</t>
  </si>
  <si>
    <t>Abfalltrennsystem</t>
  </si>
  <si>
    <t>91.123</t>
  </si>
  <si>
    <t>Entsorgung, Abfalltrennsystem</t>
  </si>
  <si>
    <t>Stk.</t>
  </si>
  <si>
    <t>Système de tri des déchets</t>
  </si>
  <si>
    <r>
      <rPr>
        <sz val="10"/>
        <color rgb="FFFF0000"/>
        <rFont val="Arial"/>
        <family val="2"/>
      </rPr>
      <t>Élimination, système de tri des déchets</t>
    </r>
  </si>
  <si>
    <t>21.002</t>
  </si>
  <si>
    <t>FC7C4727-B6B9-45A9-9AB9-53EE5C039FB2</t>
  </si>
  <si>
    <t>Arbeitsplatte Chromstahl, high-end</t>
  </si>
  <si>
    <t>91.161</t>
  </si>
  <si>
    <t>Entsorgung, Arbeitsplatte Chromstahl, High-End</t>
  </si>
  <si>
    <t>Plan de travail en acier chromé, haut de gamme</t>
  </si>
  <si>
    <r>
      <rPr>
        <sz val="10"/>
        <color rgb="FFFF0000"/>
        <rFont val="Arial"/>
        <family val="2"/>
      </rPr>
      <t>Élimination, plan de travail acier chromé, haut de gamme</t>
    </r>
  </si>
  <si>
    <t>21.003</t>
  </si>
  <si>
    <t>59550658-97D9-44D0-A19E-69C1434953F0</t>
  </si>
  <si>
    <t>Arbeitsplatte Chromstahl, Standard</t>
  </si>
  <si>
    <t>91.124</t>
  </si>
  <si>
    <t>Entsorgung, Arbeitsplatte Chromstahl, Standard</t>
  </si>
  <si>
    <t>Plan de travail en acier chromé, standard</t>
  </si>
  <si>
    <r>
      <rPr>
        <sz val="10"/>
        <color rgb="FFFF0000"/>
        <rFont val="Arial"/>
        <family val="2"/>
      </rPr>
      <t>Élimination, plan de travail en acier chromé, standard</t>
    </r>
  </si>
  <si>
    <t>21.004</t>
  </si>
  <si>
    <t>BA8B90B0-9DF2-4B24-9C2E-2771662E958F</t>
  </si>
  <si>
    <t>Arbeitsplatte Kompositwerkstoff (auf Aluminiumhydroxidbasis)</t>
  </si>
  <si>
    <t>91.125</t>
  </si>
  <si>
    <t>Entsorgung, Arbeitsplatte Kompositwerkstoff (auf Aluminiumhydroxidbasis)</t>
  </si>
  <si>
    <t>Plan de travail en matériau composite (base: hydroxyde d'aluminium)</t>
  </si>
  <si>
    <r>
      <rPr>
        <sz val="10"/>
        <color rgb="FFFF0000"/>
        <rFont val="Arial"/>
        <family val="2"/>
      </rPr>
      <t>Élimination, plan de travail en matériau composite (base: hydroxyde d</t>
    </r>
    <r>
      <rPr>
        <sz val="10"/>
        <color rgb="FFFF0000"/>
        <rFont val="Arial"/>
        <family val="2"/>
      </rPr>
      <t>'aluminium)</t>
    </r>
  </si>
  <si>
    <t>21.005</t>
  </si>
  <si>
    <t>77DCCEBD-760E-4534-9BF9-975E037EB3A0</t>
  </si>
  <si>
    <t>Arbeitsplatte kunstharzbeschichtet</t>
  </si>
  <si>
    <t>91.126</t>
  </si>
  <si>
    <t>Entsorgung, Arbeitsplatte kunstharzbeschichtet</t>
  </si>
  <si>
    <t>Plan de travail en résine synthétique</t>
  </si>
  <si>
    <r>
      <rPr>
        <sz val="10"/>
        <color rgb="FFFF0000"/>
        <rFont val="Arial"/>
        <family val="2"/>
      </rPr>
      <t>Élimination, plan de travail en résine synthétique</t>
    </r>
  </si>
  <si>
    <t>21.006</t>
  </si>
  <si>
    <t>FF8F7027-E9C1-4AD4-9E47-7DDB0F44CCEE</t>
  </si>
  <si>
    <t>Arbeitsplatte Massivholz</t>
  </si>
  <si>
    <t>91.127</t>
  </si>
  <si>
    <t>Entsorgung, Arbeitsplatte Massivholz</t>
  </si>
  <si>
    <t>Plan de travail en bois massif</t>
  </si>
  <si>
    <r>
      <rPr>
        <sz val="10"/>
        <color rgb="FFFF0000"/>
        <rFont val="Arial"/>
        <family val="2"/>
      </rPr>
      <t>Élimination, plan de travail en bois massif</t>
    </r>
  </si>
  <si>
    <t>21.007</t>
  </si>
  <si>
    <t>F6E3D922-9AB9-43AF-8913-DAEEA4FBE722</t>
  </si>
  <si>
    <t>Arbeitsplatte Naturstein</t>
  </si>
  <si>
    <t>Plan de travail en pierre naturelle</t>
  </si>
  <si>
    <t>21.008</t>
  </si>
  <si>
    <t>84ED90B6-CBDF-4F8D-845B-272346268676</t>
  </si>
  <si>
    <t>Dampfabzug</t>
  </si>
  <si>
    <t>91.129</t>
  </si>
  <si>
    <t>Entsorgung, Dampfabzug</t>
  </si>
  <si>
    <t>Hotte de ventilation</t>
  </si>
  <si>
    <r>
      <rPr>
        <sz val="10"/>
        <color rgb="FFFF0000"/>
        <rFont val="Arial"/>
        <family val="2"/>
      </rPr>
      <t>Élimination, hotte de ventilation</t>
    </r>
  </si>
  <si>
    <t>21.009</t>
  </si>
  <si>
    <t>179EF39A-FF60-4845-9534-8D73EF207C47</t>
  </si>
  <si>
    <t>Küche, Massivholz, 16-teilig</t>
  </si>
  <si>
    <t>91.130</t>
  </si>
  <si>
    <t>Entsorgung, Küche, Massivholz, 16-teilig</t>
  </si>
  <si>
    <t>Cuisine, bois massif, 16 éléments</t>
  </si>
  <si>
    <r>
      <rPr>
        <sz val="10"/>
        <color rgb="FFFF0000"/>
        <rFont val="Arial"/>
        <family val="2"/>
      </rPr>
      <t>Élimination, cuisine, bois massif, 16 éléments</t>
    </r>
  </si>
  <si>
    <t>21.010</t>
  </si>
  <si>
    <t>6927B923-0CE9-404D-B3A9-98914ED31E83</t>
  </si>
  <si>
    <t>Küche, Metall, 16-teilig</t>
  </si>
  <si>
    <t>91.131</t>
  </si>
  <si>
    <t>Entsorgung, Küche, Metall, 16-teilig</t>
  </si>
  <si>
    <t>Cuisine, métal, 16 éléments</t>
  </si>
  <si>
    <r>
      <rPr>
        <sz val="10"/>
        <color rgb="FFFF0000"/>
        <rFont val="Arial"/>
        <family val="2"/>
      </rPr>
      <t>Élimination, cuisine, métal, 16 éléments</t>
    </r>
  </si>
  <si>
    <t>21.011</t>
  </si>
  <si>
    <t>FADC1641-F855-4888-B0BB-42B23153ED97</t>
  </si>
  <si>
    <t>Küche, Spanplatte, 16-teilig</t>
  </si>
  <si>
    <t>91.132</t>
  </si>
  <si>
    <t>Entsorgung, Küche, Spanplatte, 16-teilig</t>
  </si>
  <si>
    <t>Cuisine, bois reconstitué, 16 éléments</t>
  </si>
  <si>
    <r>
      <rPr>
        <sz val="10"/>
        <color rgb="FFFF0000"/>
        <rFont val="Arial"/>
        <family val="2"/>
      </rPr>
      <t>Élimination, cuisine, bois reconstitué, 16 éléments</t>
    </r>
  </si>
  <si>
    <t>21.012</t>
  </si>
  <si>
    <t>12ADE34B-2318-4E01-89C0-4A690DF416D3</t>
  </si>
  <si>
    <t>Spüle Chromstahl</t>
  </si>
  <si>
    <t>91.133</t>
  </si>
  <si>
    <t>Entsorgung, Spüle Chromstahl</t>
  </si>
  <si>
    <t>Armoire-évier en acier chromé</t>
  </si>
  <si>
    <r>
      <rPr>
        <sz val="10"/>
        <color rgb="FFFF0000"/>
        <rFont val="Arial"/>
        <family val="2"/>
      </rPr>
      <t>Élimination, armoire-évier en acier chromé</t>
    </r>
  </si>
  <si>
    <t>21.013</t>
  </si>
  <si>
    <t>77603615-1C21-4F15-A9A7-3194EA13EEE8</t>
  </si>
  <si>
    <t>Spüle Kompositwerkstoff (auf Gesteinsmehlbasis)</t>
  </si>
  <si>
    <t>91.134</t>
  </si>
  <si>
    <t>Entsorgung, Spüle Kompositwerkstoff (auf Gesteinsmehlbasis)</t>
  </si>
  <si>
    <t>Armoire-évier en matières composites (base: poudre de roche)</t>
  </si>
  <si>
    <r>
      <rPr>
        <sz val="10"/>
        <color rgb="FFFF0000"/>
        <rFont val="Arial"/>
        <family val="2"/>
      </rPr>
      <t>Élimination, armoire-évier en matières composites (base: poudre de roche)</t>
    </r>
  </si>
  <si>
    <t>Mobiliarrechner: mit dem Mobiliarrechner können Umweltkennwerte von verschiedenen Möbel berechnet werden.</t>
  </si>
  <si>
    <t>Calculateur de mobilier: le calculateur de mobilier permet de calculer les données environnementales de différents meubles.</t>
  </si>
  <si>
    <t>Données des écobilans dans la construction</t>
  </si>
  <si>
    <t>PEF-ges</t>
  </si>
  <si>
    <t>PEF-e</t>
  </si>
  <si>
    <t>PEF-ne</t>
  </si>
  <si>
    <t>THG</t>
  </si>
  <si>
    <t xml:space="preserve">GEBÄUDETECHNIK
</t>
  </si>
  <si>
    <t xml:space="preserve">TECHNIQUE DU BÂTIMENT
</t>
  </si>
  <si>
    <t>nicht erneuerbar</t>
  </si>
  <si>
    <t>Grösse</t>
  </si>
  <si>
    <t>non renouvelable</t>
  </si>
  <si>
    <t>Dimension</t>
  </si>
  <si>
    <t>Einheit / Unité</t>
  </si>
  <si>
    <t>31</t>
  </si>
  <si>
    <t>Heizungsanlagen</t>
  </si>
  <si>
    <t>Installations de chauffage</t>
  </si>
  <si>
    <t>645b97bd-1df3-4009-b1e2-cf2361027d28</t>
  </si>
  <si>
    <r>
      <t>Wärmeerzeuger, spez. Leistungsbedarf 10 W/m</t>
    </r>
    <r>
      <rPr>
        <vertAlign val="superscript"/>
        <sz val="10"/>
        <rFont val="Arial"/>
        <family val="2"/>
      </rPr>
      <t>2</t>
    </r>
  </si>
  <si>
    <t>92.006</t>
  </si>
  <si>
    <r>
      <t>Entsorgung, Wärmeerzeuger, spez. Leistungsbedarf 10 W/m</t>
    </r>
    <r>
      <rPr>
        <vertAlign val="superscript"/>
        <sz val="10"/>
        <rFont val="Arial"/>
        <family val="2"/>
      </rPr>
      <t>2</t>
    </r>
  </si>
  <si>
    <t>EBF</t>
  </si>
  <si>
    <r>
      <t>Prod. de chaleur, besoins en puissance 10 W/m</t>
    </r>
    <r>
      <rPr>
        <vertAlign val="superscript"/>
        <sz val="10"/>
        <rFont val="Arial"/>
        <family val="2"/>
      </rPr>
      <t>2</t>
    </r>
  </si>
  <si>
    <r>
      <rPr>
        <sz val="10"/>
        <rFont val="Arial"/>
        <family val="2"/>
      </rPr>
      <t>Élimination, producteur de chaleur, besoin spéc. en puissance 10 W/m</t>
    </r>
    <r>
      <rPr>
        <vertAlign val="superscript"/>
        <sz val="10"/>
        <rFont val="Arial"/>
        <family val="2"/>
      </rPr>
      <t>2</t>
    </r>
  </si>
  <si>
    <t>99bbe55d-26c7-43c1-9cb7-bb22acaba046</t>
  </si>
  <si>
    <r>
      <t>Wärmeerzeuger, spez. Leistungsbedarf 30 W/m</t>
    </r>
    <r>
      <rPr>
        <vertAlign val="superscript"/>
        <sz val="10"/>
        <rFont val="Arial"/>
        <family val="2"/>
      </rPr>
      <t>2</t>
    </r>
  </si>
  <si>
    <t>92.007</t>
  </si>
  <si>
    <r>
      <t>Entsorgung, Wärmeerzeuger, spez. Leistungsbedarf 30 W/m</t>
    </r>
    <r>
      <rPr>
        <vertAlign val="superscript"/>
        <sz val="10"/>
        <rFont val="Arial"/>
        <family val="2"/>
      </rPr>
      <t>2</t>
    </r>
  </si>
  <si>
    <r>
      <t>Prod.de chaleur, besoins en puissance 30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</si>
  <si>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</si>
  <si>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t>c9919efb-4f2c-4bd6-9cd0-60b9a23fa0d3</t>
  </si>
  <si>
    <r>
      <t>Wärmeerzeuger, spez. Leistungsbedarf 50 W/m</t>
    </r>
    <r>
      <rPr>
        <vertAlign val="superscript"/>
        <sz val="10"/>
        <rFont val="Arial"/>
        <family val="2"/>
      </rPr>
      <t>2</t>
    </r>
  </si>
  <si>
    <t>92.008</t>
  </si>
  <si>
    <r>
      <t>Entsorgung, Wärmeerzeuger, spez. Leistungsbedarf 50 W/m</t>
    </r>
    <r>
      <rPr>
        <vertAlign val="superscript"/>
        <sz val="10"/>
        <rFont val="Arial"/>
        <family val="2"/>
      </rPr>
      <t>2</t>
    </r>
  </si>
  <si>
    <r>
      <t>Prod.de chaleur, besoins en puissance 50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</si>
  <si>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</si>
  <si>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t>31.027</t>
  </si>
  <si>
    <t>f53af324-0889-4d90-b66c-f0a0ae9c3efc</t>
  </si>
  <si>
    <t>Elektrospeicherofen 5kW</t>
  </si>
  <si>
    <t>92.032</t>
  </si>
  <si>
    <t>Entsorgung, Elektrospeicherofen 5kW</t>
  </si>
  <si>
    <t>Masse</t>
  </si>
  <si>
    <t>masse</t>
  </si>
  <si>
    <t>Poêle électrique à accumulation 5kW</t>
  </si>
  <si>
    <r>
      <rPr>
        <sz val="10"/>
        <color rgb="FFFF0000"/>
        <rFont val="Arial"/>
        <family val="2"/>
      </rPr>
      <t>Élimination, four électrique à accumulation 5 kW</t>
    </r>
  </si>
  <si>
    <t>a40edcbc-cd81-4bf2-963b-cb545d6e3b02</t>
  </si>
  <si>
    <t>Wärmeverteilung Wohngebäude</t>
  </si>
  <si>
    <t>92.014</t>
  </si>
  <si>
    <t>Entsorgung, Verteilung Wohngebäude</t>
  </si>
  <si>
    <t>Distribution de chaleur, bâtiment d'habitation</t>
  </si>
  <si>
    <r>
      <rPr>
        <sz val="10"/>
        <rFont val="Arial"/>
        <family val="2"/>
      </rPr>
      <t>Élimination, distribution bâtiment d</t>
    </r>
    <r>
      <rPr>
        <sz val="10"/>
        <rFont val="Arial"/>
        <family val="2"/>
      </rPr>
      <t>'habitation</t>
    </r>
  </si>
  <si>
    <t>6249860e-f4cf-40fb-8244-be22d92e78e5</t>
  </si>
  <si>
    <t>Wärmeverteilung Bürogebäude</t>
  </si>
  <si>
    <t>92.015</t>
  </si>
  <si>
    <t>Entsorgung, Verteilung Bürogebäude</t>
  </si>
  <si>
    <t>Distribution de chaleur, bâtiment administratif</t>
  </si>
  <si>
    <r>
      <rPr>
        <sz val="10"/>
        <rFont val="Arial"/>
        <family val="2"/>
      </rPr>
      <t>Élimination, distribution bâtiment administratif</t>
    </r>
  </si>
  <si>
    <t>068e9380-2088-4f04-8385-ce410ead6121</t>
  </si>
  <si>
    <t>Wärmeabgabe über Heizkörper</t>
  </si>
  <si>
    <t>92.016</t>
  </si>
  <si>
    <t>Entsorgung, Abgabe über Heizkörper</t>
  </si>
  <si>
    <t>Diffusion de chaleur par le biais du corps de chauffe</t>
  </si>
  <si>
    <r>
      <rPr>
        <sz val="10"/>
        <rFont val="Arial"/>
        <family val="2"/>
      </rPr>
      <t>Élimination, diffusion par le biais du corps de chauffe</t>
    </r>
  </si>
  <si>
    <t>a9814d97-ccf9-4349-934d-b70b67622da2</t>
  </si>
  <si>
    <t>Wärmeabgabe über Fussbodenheizung</t>
  </si>
  <si>
    <t>92.017</t>
  </si>
  <si>
    <t>Entsorgung, Abgabe über Fussbodenheizung</t>
  </si>
  <si>
    <t>Diffusion de chaleur par le biais du chauffage au sol</t>
  </si>
  <si>
    <r>
      <rPr>
        <sz val="10"/>
        <rFont val="Arial"/>
        <family val="2"/>
      </rPr>
      <t>Élimination, diffusion par le biais du chauffage au sol</t>
    </r>
  </si>
  <si>
    <t>31.025</t>
  </si>
  <si>
    <t>de698b1d-fa42-456f-8f8e-a33cdf6ab46b</t>
  </si>
  <si>
    <t>Wärmeabgabe über Heizkühldecke (ohne Gips- oder Metalldecke)</t>
  </si>
  <si>
    <t>92.018</t>
  </si>
  <si>
    <t>Entsorgung, Abgabe über Heizkühldecke (ohne Gips- oder Metalldecke)</t>
  </si>
  <si>
    <t>Diffusion de chaleur par le biais du système de chauffage et de refroidissement au plafond</t>
  </si>
  <si>
    <r>
      <rPr>
        <sz val="10"/>
        <rFont val="Arial"/>
        <family val="2"/>
      </rPr>
      <t>Élimination, diffusion par le biais du système de chauffage et de refroidissement au plafond</t>
    </r>
  </si>
  <si>
    <t>31.015</t>
  </si>
  <si>
    <t>1a8f4741-4ce9-4bbf-9f2e-c9c6796fbd61</t>
  </si>
  <si>
    <t>Wärmeverteilung und Abgabe, Luftheizung</t>
  </si>
  <si>
    <t>92.019</t>
  </si>
  <si>
    <t>Entsorgung, Wärmeverteilung und Abgabe, Luftheizung</t>
  </si>
  <si>
    <t>Distribution de chaleur, chauffage à air chaud</t>
  </si>
  <si>
    <r>
      <rPr>
        <sz val="10"/>
        <rFont val="Arial"/>
        <family val="2"/>
      </rPr>
      <t>Élimination, distribution et diffusion de chaleur, chauffage à air</t>
    </r>
  </si>
  <si>
    <t>55af576a-3041-4ea1-9c78-bef7123063ef</t>
  </si>
  <si>
    <t>Erdsonden, für Sole-Wasser-Wärmepumpe</t>
  </si>
  <si>
    <t>92.009</t>
  </si>
  <si>
    <t>Entsorgung, Erdsonden, für Sole-Wasser-Wärmepumpe</t>
  </si>
  <si>
    <t>Sondenlänge</t>
  </si>
  <si>
    <t>longueur</t>
  </si>
  <si>
    <t>Sondes géothermiques, pour la pompe à chaleur saumure-eau</t>
  </si>
  <si>
    <r>
      <rPr>
        <sz val="10"/>
        <rFont val="Arial"/>
        <family val="2"/>
      </rPr>
      <t>Élimination, sondes géothermiques, pour la pompe à chaleur saumure-eau</t>
    </r>
  </si>
  <si>
    <t>31.026</t>
  </si>
  <si>
    <t>a5710d9b-04fc-40d5-9192-d885da64143b</t>
  </si>
  <si>
    <t>Förder- und Schluckbrunnen für Grundwasser Wärmepumpe</t>
  </si>
  <si>
    <t>92.033</t>
  </si>
  <si>
    <t>Entsorgung, Förder- und Schluckbrunnen für Grundwasser Wärmepumpe</t>
  </si>
  <si>
    <t>Gerät</t>
  </si>
  <si>
    <t>appareil</t>
  </si>
  <si>
    <t>Puits de production et d'absorption pour pompe à chaleur sur nappe phréatique</t>
  </si>
  <si>
    <r>
      <rPr>
        <sz val="10"/>
        <color rgb="FFFF0000"/>
        <rFont val="Arial"/>
        <family val="2"/>
      </rPr>
      <t>Élimination, puits de production et d</t>
    </r>
    <r>
      <rPr>
        <sz val="10"/>
        <color rgb="FFFF0000"/>
        <rFont val="Arial"/>
        <family val="2"/>
      </rPr>
      <t>'absorption pour la nappe souterraine, pompe à chaleur</t>
    </r>
  </si>
  <si>
    <t>31.017</t>
  </si>
  <si>
    <t>22e2235a-a83c-45f6-9427-f94b4f974e5e</t>
  </si>
  <si>
    <t>Sole-Wasser Wärmepumpe 7 kW</t>
  </si>
  <si>
    <t>92.010</t>
  </si>
  <si>
    <t>Entsorgung, Sole-Wasser Wärmepumpe 7 kW</t>
  </si>
  <si>
    <t>Pompe à chaleur saumure-eau 7 kW</t>
  </si>
  <si>
    <r>
      <rPr>
        <sz val="10"/>
        <rFont val="Arial"/>
        <family val="2"/>
      </rPr>
      <t>Élimination, pompe à chaleur saumure-eau 7 kW</t>
    </r>
  </si>
  <si>
    <t>31.018</t>
  </si>
  <si>
    <t>e20c6a33-83fc-4eac-b584-c72158f02235</t>
  </si>
  <si>
    <t>92.011</t>
  </si>
  <si>
    <t>31.019</t>
  </si>
  <si>
    <t>3c2731f6-9027-4651-8c00-dda182d954dc</t>
  </si>
  <si>
    <t>Luft-Wasser Wärmepumpe 7 kW</t>
  </si>
  <si>
    <t>92.012</t>
  </si>
  <si>
    <t>Entsorgung, Luft-Wasser Wärmepumpe 7 kW</t>
  </si>
  <si>
    <t>Pompe à chaleur air-eau 7 kW</t>
  </si>
  <si>
    <r>
      <rPr>
        <sz val="10"/>
        <rFont val="Arial"/>
        <family val="2"/>
      </rPr>
      <t>Élimination, pompe à chaleur air-eau 7 kW</t>
    </r>
  </si>
  <si>
    <t>31.020</t>
  </si>
  <si>
    <t>b19278f1-e280-43e7-b95e-387e5b300fa1</t>
  </si>
  <si>
    <t>92.013</t>
  </si>
  <si>
    <t>31.007</t>
  </si>
  <si>
    <t>a2577f20-910e-4ab9-b25c-28b17d727db4</t>
  </si>
  <si>
    <t>Flachkollektor für Warmwasser EFH</t>
  </si>
  <si>
    <t>Herstellung inkl. Entsorgung</t>
  </si>
  <si>
    <t>Kollektorfläche</t>
  </si>
  <si>
    <t>Surf. collecteurs</t>
  </si>
  <si>
    <t>Collecteurs solaires plan, eau chaude maison individuelle</t>
  </si>
  <si>
    <r>
      <rPr>
        <sz val="10"/>
        <rFont val="Arial"/>
        <family val="2"/>
      </rPr>
      <t>Fabrication, élimination comprise</t>
    </r>
  </si>
  <si>
    <t>31.008</t>
  </si>
  <si>
    <t>91edaf83-571f-4b81-af85-c44fa3577859</t>
  </si>
  <si>
    <t>Flachkollektor für Raumheizung und Warmwasser EFH</t>
  </si>
  <si>
    <t>Collecteurs solaires plan, chaleur et eau chaude  maison individuelle</t>
  </si>
  <si>
    <t>e9ef231c-e33b-455d-962d-5f1b4d598988</t>
  </si>
  <si>
    <t>Collecteurs solaires plan, eau chaude immeuble locatif</t>
  </si>
  <si>
    <t>31.010</t>
  </si>
  <si>
    <t>514cd372-7b41-418d-962a-601f600e785a</t>
  </si>
  <si>
    <t>Röhrenkollektor für Raumheizung und Warmwasser EFH</t>
  </si>
  <si>
    <t>Collecteurs solaires à tubes, chaleur et eau chaude  maison individuelle</t>
  </si>
  <si>
    <t>31.028</t>
  </si>
  <si>
    <t>c76bc41b-0c38-4c87-9763-094c24492e42</t>
  </si>
  <si>
    <t>Hybridkollektor Schrägdach mit Erdsondenregeneration</t>
  </si>
  <si>
    <t>Collecteur hybride pour toit incliné avec régénération par sonde géothermique</t>
  </si>
  <si>
    <t>31.029</t>
  </si>
  <si>
    <t>ae61f436-618d-45ed-b2a3-2b09b2e8c35d</t>
  </si>
  <si>
    <t>Hybridkollektor Schrägdach mit Warmwasserspeicher</t>
  </si>
  <si>
    <t xml:space="preserve">Collecteur hybride pour toit incliné avec accumulateur d'eau chaude </t>
  </si>
  <si>
    <t>32</t>
  </si>
  <si>
    <t>Lüftungsanlagen</t>
  </si>
  <si>
    <t>e4fe6828-ae2f-4171-8797-1c452a44e9cb</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</si>
  <si>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</si>
  <si>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92.027</t>
  </si>
  <si>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</si>
  <si>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</si>
  <si>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</si>
  <si>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395dfa3e-b1b6-4023-9bf2-89f71c34ba55</t>
  </si>
  <si>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</si>
  <si>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92.028</t>
  </si>
  <si>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</si>
  <si>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</si>
  <si>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</si>
  <si>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5ecd5719-455c-4f94-a425-6d53871c374e</t>
  </si>
  <si>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</si>
  <si>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92.029</t>
  </si>
  <si>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</si>
  <si>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</si>
  <si>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</si>
  <si>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32.007</t>
  </si>
  <si>
    <t>03b18a1a-ea2f-4893-91d7-232d6c0dbe5e</t>
  </si>
  <si>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</si>
  <si>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92.030</t>
  </si>
  <si>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</si>
  <si>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</si>
  <si>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</si>
  <si>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32.012</t>
  </si>
  <si>
    <t>42e1c28c-95a8-43ee-ae9a-0bf1175d7980</t>
  </si>
  <si>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</si>
  <si>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t>92.031</t>
  </si>
  <si>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</si>
  <si>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</si>
  <si>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</si>
  <si>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t>32.001</t>
  </si>
  <si>
    <t>3d01311f-bce0-4e29-bfab-e1971a21410d</t>
  </si>
  <si>
    <t>Lüftungsanlage Wohnen, Blechkanäle, inkl. Küchenabluft</t>
  </si>
  <si>
    <t>92.021</t>
  </si>
  <si>
    <t>Entsorgung, Lüftungsanlage Wohnen, Blechkanäle, inkl. Küchenabluft</t>
  </si>
  <si>
    <t xml:space="preserve">Ventilation habitation, canaux en tôle, évacuation d'air (cuisine) </t>
  </si>
  <si>
    <r>
      <rPr>
        <sz val="10"/>
        <rFont val="Arial"/>
        <family val="2"/>
      </rPr>
      <t>Élimination, ventilation habitation, canaux en tôle, y c. évacuation d</t>
    </r>
    <r>
      <rPr>
        <sz val="10"/>
        <rFont val="Arial"/>
        <family val="2"/>
      </rPr>
      <t>'air (cuisine)</t>
    </r>
  </si>
  <si>
    <t>32.002</t>
  </si>
  <si>
    <t>7a17dc11-ba34-4e71-9b81-43b85add04f2</t>
  </si>
  <si>
    <t>Lüftungsanlage Wohnen, PE-Kanäle, inkl. Küchenabluft</t>
  </si>
  <si>
    <t>92.022</t>
  </si>
  <si>
    <t>Entsorgung, Lüftungsanlage Wohnen, PE-Kanäle, inkl. Küchenabluft</t>
  </si>
  <si>
    <t xml:space="preserve">Ventilation habitation, canaux en HDPE, évacuation d'air (cuisine) </t>
  </si>
  <si>
    <r>
      <rPr>
        <sz val="10"/>
        <rFont val="Arial"/>
        <family val="2"/>
      </rPr>
      <t>Élimination, ventilation habitation, canaux en HDPE, y c. évacuation d</t>
    </r>
    <r>
      <rPr>
        <sz val="10"/>
        <rFont val="Arial"/>
        <family val="2"/>
      </rPr>
      <t>'air (cuisine)</t>
    </r>
  </si>
  <si>
    <t>645717a2-e9cc-44f3-be97-b3ae40ee9007</t>
  </si>
  <si>
    <t>92.023</t>
  </si>
  <si>
    <t>Entsorgung, Abluftanlage Küche und Bad</t>
  </si>
  <si>
    <t>Évacuation d'air cuisine et salle de bain</t>
  </si>
  <si>
    <r>
      <rPr>
        <sz val="10"/>
        <rFont val="Arial"/>
        <family val="2"/>
      </rPr>
      <t>Élimination, évacuation d</t>
    </r>
    <r>
      <rPr>
        <sz val="10"/>
        <rFont val="Arial"/>
        <family val="2"/>
      </rPr>
      <t>'air cuisine et salle de bains</t>
    </r>
  </si>
  <si>
    <t>32.004</t>
  </si>
  <si>
    <t>4c70ecba-4236-456c-ad4f-a9c1af79f860</t>
  </si>
  <si>
    <t>Erdregister zu Lüftungsanlage Wohnen</t>
  </si>
  <si>
    <t>92.024</t>
  </si>
  <si>
    <t>Entsorgung, Erdregister zu Lüftungsanlage Wohnen</t>
  </si>
  <si>
    <t>Registre de terre pour ventilation habitation</t>
  </si>
  <si>
    <r>
      <rPr>
        <sz val="10"/>
        <rFont val="Arial"/>
        <family val="2"/>
      </rPr>
      <t>Élimination, registre de terre pour ventilation habitation</t>
    </r>
  </si>
  <si>
    <t>32.008</t>
  </si>
  <si>
    <t>52d5a2c2-5c73-4764-b968-ce9d2f11251f</t>
  </si>
  <si>
    <r>
      <t>Erdregister kurz zu Lüftungsanlage Büro (0.27 m/m</t>
    </r>
    <r>
      <rPr>
        <vertAlign val="superscript"/>
        <sz val="10"/>
        <rFont val="Arial"/>
        <family val="2"/>
      </rPr>
      <t>2</t>
    </r>
    <r>
      <rPr>
        <sz val="10"/>
        <rFont val="Arial"/>
        <family val="2"/>
      </rPr>
      <t xml:space="preserve"> EBF)</t>
    </r>
  </si>
  <si>
    <t>92.025</t>
  </si>
  <si>
    <r>
      <t>Entsorgung, Erdregister kurz zu Lüftungsanlage Büro (0.27 m/m</t>
    </r>
    <r>
      <rPr>
        <vertAlign val="superscript"/>
        <sz val="10"/>
        <rFont val="Arial"/>
        <family val="2"/>
      </rPr>
      <t>2</t>
    </r>
    <r>
      <rPr>
        <sz val="10"/>
        <rFont val="Arial"/>
        <family val="2"/>
      </rPr>
      <t xml:space="preserve"> EBF)</t>
    </r>
  </si>
  <si>
    <r>
      <t>Registre de terre court pour ventilation bureau (0.27 m/m</t>
    </r>
    <r>
      <rPr>
        <vertAlign val="superscript"/>
        <sz val="10"/>
        <rFont val="Arial"/>
        <family val="2"/>
      </rPr>
      <t>2</t>
    </r>
    <r>
      <rPr>
        <sz val="10"/>
        <rFont val="Arial"/>
        <family val="2"/>
      </rPr>
      <t xml:space="preserve"> SRE)</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</si>
  <si>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</si>
  <si>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t>32.009</t>
  </si>
  <si>
    <t>76d83bec-2ab8-4775-97c5-81fccaab766d</t>
  </si>
  <si>
    <r>
      <t>Erdregister lang zu Lüftungsanlage Büro (0.67 m/m</t>
    </r>
    <r>
      <rPr>
        <vertAlign val="superscript"/>
        <sz val="10"/>
        <rFont val="Arial"/>
        <family val="2"/>
      </rPr>
      <t>2</t>
    </r>
    <r>
      <rPr>
        <sz val="10"/>
        <rFont val="Arial"/>
        <family val="2"/>
      </rPr>
      <t xml:space="preserve"> EBF)</t>
    </r>
  </si>
  <si>
    <t>92.026</t>
  </si>
  <si>
    <r>
      <t>Entsorgung, Erdregister lang zu Lüftungsanlage Büro (0.67 m/m</t>
    </r>
    <r>
      <rPr>
        <vertAlign val="superscript"/>
        <sz val="10"/>
        <rFont val="Arial"/>
        <family val="2"/>
      </rPr>
      <t>2</t>
    </r>
    <r>
      <rPr>
        <sz val="10"/>
        <rFont val="Arial"/>
        <family val="2"/>
      </rPr>
      <t xml:space="preserve"> EBF)</t>
    </r>
  </si>
  <si>
    <r>
      <t>Registre de terre long pour ventilation bureau (0.67 m/m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</si>
  <si>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</si>
  <si>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t>32.010</t>
  </si>
  <si>
    <t>efafc2f6-8bd1-4d35-89b0-04deff6620b2</t>
  </si>
  <si>
    <r>
      <t>Einzelraumlüfer Fenstermodell 10-30 m</t>
    </r>
    <r>
      <rPr>
        <vertAlign val="superscript"/>
        <sz val="10"/>
        <rFont val="Arial"/>
        <family val="2"/>
      </rPr>
      <t>3</t>
    </r>
    <r>
      <rPr>
        <sz val="10"/>
        <rFont val="Arial"/>
        <family val="2"/>
      </rPr>
      <t>/h, ohne Montage</t>
    </r>
  </si>
  <si>
    <t>92.020</t>
  </si>
  <si>
    <r>
      <t>Entsorgung, Einzelraumlüfer Fenstermodell 10-30 m</t>
    </r>
    <r>
      <rPr>
        <vertAlign val="superscript"/>
        <sz val="10"/>
        <rFont val="Arial"/>
        <family val="2"/>
      </rPr>
      <t>3</t>
    </r>
    <r>
      <rPr>
        <sz val="10"/>
        <rFont val="Arial"/>
        <family val="2"/>
      </rPr>
      <t>/h, ohne Montage</t>
    </r>
  </si>
  <si>
    <r>
      <t>Ventilation pièce individuelle, modèle de fenêtre 10-30 m</t>
    </r>
    <r>
      <rPr>
        <vertAlign val="superscript"/>
        <sz val="10"/>
        <rFont val="Arial"/>
        <family val="2"/>
      </rPr>
      <t>3</t>
    </r>
    <r>
      <rPr>
        <sz val="10"/>
        <rFont val="Arial"/>
        <family val="2"/>
      </rPr>
      <t>/h, sans montage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</si>
  <si>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</si>
  <si>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t>33</t>
  </si>
  <si>
    <t>Sanitäranlagen</t>
  </si>
  <si>
    <t>Installations sanitaires</t>
  </si>
  <si>
    <t>b60b6657-8c44-4d7a-b939-8b4509f1de9b</t>
  </si>
  <si>
    <t>92.001</t>
  </si>
  <si>
    <t>Entsorgung, Büro, einfache Installation, inkl. Apparate und Leitungen</t>
  </si>
  <si>
    <t>Bureau, degré de complexité faible, appareils et conduites compris</t>
  </si>
  <si>
    <r>
      <rPr>
        <sz val="10"/>
        <rFont val="Arial"/>
        <family val="2"/>
      </rPr>
      <t>Élimination, bureau, installation simple, y c. appareils et conduites</t>
    </r>
  </si>
  <si>
    <t>61b56ba6-7617-4f37-8e69-449bdff80954</t>
  </si>
  <si>
    <t>92.002</t>
  </si>
  <si>
    <t>Entsorgung, Büro, aufwändige Installation, inkl. Apparate und Leitungen</t>
  </si>
  <si>
    <t>Bureau, degré de complexité élevé, appareils et conduites compris</t>
  </si>
  <si>
    <r>
      <rPr>
        <sz val="10"/>
        <rFont val="Arial"/>
        <family val="2"/>
      </rPr>
      <t>Élimination, bureau, installation complexe, y c. appareils et conduites</t>
    </r>
  </si>
  <si>
    <t>2f3072ee-186f-41b6-8dd0-08ec47723547</t>
  </si>
  <si>
    <t>92.003</t>
  </si>
  <si>
    <t>Entsorgung, Wohnen, inkl. Apparate und Leitungen</t>
  </si>
  <si>
    <t>Habitation, appareils et conduites compris</t>
  </si>
  <si>
    <r>
      <rPr>
        <sz val="10"/>
        <rFont val="Arial"/>
        <family val="2"/>
      </rPr>
      <t>Élimination, habitation, y c. appareils et conduites</t>
    </r>
  </si>
  <si>
    <t>34</t>
  </si>
  <si>
    <t>Elektroanlagen</t>
  </si>
  <si>
    <t>Installations électriques</t>
  </si>
  <si>
    <t>d3a16f42-8e69-483c-b05e-1bc8a0685795</t>
  </si>
  <si>
    <t>Elektroanlagen Wohnen</t>
  </si>
  <si>
    <t>92.004</t>
  </si>
  <si>
    <t>Entsorgung, Elektroanlagen Wohnen</t>
  </si>
  <si>
    <t>Installations électriques, habitation</t>
  </si>
  <si>
    <r>
      <rPr>
        <sz val="10"/>
        <rFont val="Arial"/>
        <family val="2"/>
      </rPr>
      <t>Élimination, installations électriques habitation</t>
    </r>
  </si>
  <si>
    <t>da74b332-8bbb-4fdd-a33e-dd1c569696e0</t>
  </si>
  <si>
    <t>Elektroanlagen Büro</t>
  </si>
  <si>
    <t>92.005</t>
  </si>
  <si>
    <t>Entsorgung, Elektroanlagen Büro</t>
  </si>
  <si>
    <t>Installations électriques, bureau</t>
  </si>
  <si>
    <r>
      <rPr>
        <sz val="10"/>
        <rFont val="Arial"/>
        <family val="2"/>
      </rPr>
      <t>Élimination, installations électriques bureau</t>
    </r>
  </si>
  <si>
    <t>34.024</t>
  </si>
  <si>
    <t>529fcea4-b0c4-46e3-b9c0-9a70f9a91668</t>
  </si>
  <si>
    <t>Max. Leistung</t>
  </si>
  <si>
    <t>Puissance max.</t>
  </si>
  <si>
    <t>34.025</t>
  </si>
  <si>
    <t>7ce8ec83-ed7b-4e84-8359-546c96d7de8b</t>
  </si>
  <si>
    <t>1862d29b-d6a4-45a8-9cd6-5539444be95b</t>
  </si>
  <si>
    <t>34.027</t>
  </si>
  <si>
    <t>6dc4866a-596d-4eee-abce-a2b6df8ae356</t>
  </si>
  <si>
    <t>34.027.01</t>
  </si>
  <si>
    <t>2dcad0f9-eb56-488f-b3f6-4caf54cd1690</t>
  </si>
  <si>
    <t>Fassadenunterkonstruktion, integriert, Eternit</t>
  </si>
  <si>
    <t>92.039.01</t>
  </si>
  <si>
    <t>Entsorgung, Fassadenunterkonstruktion, integriert, Eternit</t>
  </si>
  <si>
    <t>Panelfläche</t>
  </si>
  <si>
    <t>Surf. Panneau</t>
  </si>
  <si>
    <t>Sous-construction de façade, intégrée, Eternit</t>
  </si>
  <si>
    <r>
      <rPr>
        <sz val="10"/>
        <color rgb="FFFF0000"/>
        <rFont val="Arial"/>
        <family val="2"/>
      </rPr>
      <t>Élimination, sous-construction de façade, intégrée, Eternit</t>
    </r>
  </si>
  <si>
    <t>34.027.02</t>
  </si>
  <si>
    <t>212aabea-485c-4b9d-a6d8-fa1dcce62283</t>
  </si>
  <si>
    <t>Fassadenunterkonstruktion, integriert, StoVentec Artline inlay</t>
  </si>
  <si>
    <t>92.039.02</t>
  </si>
  <si>
    <t>Entsorgung, Fassadenunterkonstruktion, integriert, StoVentec Artline inlay</t>
  </si>
  <si>
    <t>Sous-construction de façade, intégrée, StoVentec Artline inlay</t>
  </si>
  <si>
    <r>
      <rPr>
        <sz val="10"/>
        <color rgb="FFFF0000"/>
        <rFont val="Arial"/>
        <family val="2"/>
      </rPr>
      <t>Élimination, sous-construction de façade, intégrée, StoVentec Artline inlay</t>
    </r>
  </si>
  <si>
    <t>34.027.03</t>
  </si>
  <si>
    <t>cb5bf91e-0849-48bd-9f26-0b2ec1979a9d</t>
  </si>
  <si>
    <t>Fassadenunterkonstruktion, integriert, StoVentec Artline invisible</t>
  </si>
  <si>
    <t>92.039.03</t>
  </si>
  <si>
    <t>Entsorgung, Fassadenunterkonstruktion, integriert, StoVentec Artline invisible</t>
  </si>
  <si>
    <t>Sous-construction de façade, intégrée, StoVentec Artline invisible</t>
  </si>
  <si>
    <r>
      <rPr>
        <sz val="10"/>
        <color rgb="FFFF0000"/>
        <rFont val="Arial"/>
        <family val="2"/>
      </rPr>
      <t>Élimination, sous-construction de façade, intégrée, StoVentec Artline invisible</t>
    </r>
  </si>
  <si>
    <t>34.027.04</t>
  </si>
  <si>
    <t>50a78e02-3974-4a45-9657-e971378f4341</t>
  </si>
  <si>
    <t>Fassadenunterkonstruktion, integriert, mittelformatig, GFT</t>
  </si>
  <si>
    <t>92.039.04</t>
  </si>
  <si>
    <t>Entsorgung, Fassadenunterkonstruktion, integriert, mittelformatig, GFT</t>
  </si>
  <si>
    <t>Sous-construction de façade, intégrée, format moyen, GFT</t>
  </si>
  <si>
    <r>
      <rPr>
        <sz val="10"/>
        <color rgb="FFFF0000"/>
        <rFont val="Arial"/>
        <family val="2"/>
      </rPr>
      <t>Élimination, sous-construction de façade, intégrée, format moyen, GFT</t>
    </r>
  </si>
  <si>
    <t>34.027.05</t>
  </si>
  <si>
    <t>1d794910-c5d8-4adb-ae45-1d2a9a0c406e</t>
  </si>
  <si>
    <t>Fassadenunterkonstruktion, integriert, Vogelsang</t>
  </si>
  <si>
    <t>92.039.05</t>
  </si>
  <si>
    <t>Entsorgung, Fassadenunterkonstruktion, integriert, Vogelsang</t>
  </si>
  <si>
    <t>Sous-construction de façade, intégrée, Vogelsang</t>
  </si>
  <si>
    <r>
      <rPr>
        <sz val="10"/>
        <color rgb="FFFF0000"/>
        <rFont val="Arial"/>
        <family val="2"/>
      </rPr>
      <t>Élimination, sous-construction de façade, intégrée, Vogelsang</t>
    </r>
  </si>
  <si>
    <t>34.027.06</t>
  </si>
  <si>
    <t>bdd63033-73b0-49e3-9696-8ab0483baa31</t>
  </si>
  <si>
    <t>Fassadenunterkonstruktion, integriert, Betonuntergrund, Ecolite</t>
  </si>
  <si>
    <t>92.039.06</t>
  </si>
  <si>
    <t>Entsorgung, Fassadenunterkonstruktion, integriert, Betonuntergrund, Ecolite</t>
  </si>
  <si>
    <t>Sous-construction de façade, intégrée, support en béton, Ecolite</t>
  </si>
  <si>
    <r>
      <rPr>
        <sz val="10"/>
        <color rgb="FFFF0000"/>
        <rFont val="Arial"/>
        <family val="2"/>
      </rPr>
      <t>Élimination, sous-construction de façade, intégrée, support en béton, Ecolite</t>
    </r>
  </si>
  <si>
    <t>34.027.07</t>
  </si>
  <si>
    <t>1d856ced-181d-4501-82b1-a311f820415b</t>
  </si>
  <si>
    <t>Fassadenunterkonstruktion, integriert, Backsteinuntergrund, Ecolite</t>
  </si>
  <si>
    <t>92.039.07</t>
  </si>
  <si>
    <t>Entsorgung, Fassadenunterkonstruktion, integriert, Backsteinuntergrund, Ecolite</t>
  </si>
  <si>
    <t>Sous-construction de façade, intégrée, support en briques, Ecolite</t>
  </si>
  <si>
    <r>
      <rPr>
        <sz val="10"/>
        <color rgb="FFFF0000"/>
        <rFont val="Arial"/>
        <family val="2"/>
      </rPr>
      <t>Élimination, sous-construction de façade, intégrée, support en briques, Ecolite</t>
    </r>
  </si>
  <si>
    <t>34.027.08</t>
  </si>
  <si>
    <t>3872a48b-1d54-483a-9514-1202ae6a0ce8</t>
  </si>
  <si>
    <t>Fassadenunterkonstruktion, integriert, Durchschnitt, Ecolite</t>
  </si>
  <si>
    <t>92.039.08</t>
  </si>
  <si>
    <t>Entsorgung, Fassadenunterkonstruktion, integriert, Durchschnitt, Ecolite</t>
  </si>
  <si>
    <t>Sous-construction de façade, intégrée, moyenne, Ecolite</t>
  </si>
  <si>
    <r>
      <rPr>
        <sz val="10"/>
        <color rgb="FFFF0000"/>
        <rFont val="Arial"/>
        <family val="2"/>
      </rPr>
      <t>Élimination, sous-construction de façade, intégrée, moyenne, Ecolite</t>
    </r>
  </si>
  <si>
    <t>34.027.09</t>
  </si>
  <si>
    <t>1bed54c2-bd25-4a8c-92b6-048efef0f144</t>
  </si>
  <si>
    <t>Solarpanel, Mono-Si, Eternit Sunskin Facade, 18.0%</t>
  </si>
  <si>
    <t>92.037</t>
  </si>
  <si>
    <t>Rücknahme und Recycling, c-Si PV Modul</t>
  </si>
  <si>
    <t>Panneau solaire, Mono-Si, Eternit Sunskin Facade, 18,0</t>
  </si>
  <si>
    <r>
      <rPr>
        <sz val="10"/>
        <color rgb="FFFF0000"/>
        <rFont val="Arial"/>
        <family val="2"/>
      </rPr>
      <t>Collecte et recyclage, module photovoltaïque c-Si</t>
    </r>
  </si>
  <si>
    <t>34.027.10</t>
  </si>
  <si>
    <t>8442cb56-9009-4302-aa74-3af8caba21e0</t>
  </si>
  <si>
    <t>Solarpanel, Mono-Si, Kioto Solar PVP-GExxxM, 12.5%</t>
  </si>
  <si>
    <t>Panneau solaire, Mono-Si, Kioto Solar PVP-GExxxM, 12,5 %</t>
  </si>
  <si>
    <t>34.027.11</t>
  </si>
  <si>
    <t>ad2734dc-12ca-4f65-ae79-89b2021d4698</t>
  </si>
  <si>
    <t>Solarpanel, Mono-Si, Vogelsang-Kioto Solar, 9.1%</t>
  </si>
  <si>
    <t>Panneau solaire, Mono-Si, Vogelsang-Kioto Solar, 9,1 %</t>
  </si>
  <si>
    <t>34.027.12</t>
  </si>
  <si>
    <t>f29fef62-5f16-4bec-8ba2-45a0db80cbda</t>
  </si>
  <si>
    <t>Solarpanel, CIS, StoVentec Artline inlay, 9.5%</t>
  </si>
  <si>
    <t>92.038</t>
  </si>
  <si>
    <t>Rücknahme und Recycling, CdTe PV Modul</t>
  </si>
  <si>
    <t>Panneau solaire, CIS, StoVentec Artline inlay, 9,5 %</t>
  </si>
  <si>
    <r>
      <rPr>
        <sz val="10"/>
        <color rgb="FFFF0000"/>
        <rFont val="Arial"/>
        <family val="2"/>
      </rPr>
      <t>Collecte et recyclage, module photovoltaïque CdTe</t>
    </r>
  </si>
  <si>
    <t>34.027.13</t>
  </si>
  <si>
    <t>7d017958-0383-4f59-8277-5c33c96718f5</t>
  </si>
  <si>
    <t>Solarpanel, CIS, StoVentec Artline invisible, 9.5%</t>
  </si>
  <si>
    <t>Panneau solaire, CIS, StoVentec Artline invisible, 9,5 %</t>
  </si>
  <si>
    <t>34.028</t>
  </si>
  <si>
    <t>11bfcb57-c662-45d7-a709-87edf595669e</t>
  </si>
  <si>
    <t>34.029</t>
  </si>
  <si>
    <t>b833386b-d841-47fa-a201-773218827017</t>
  </si>
  <si>
    <t>34.030</t>
  </si>
  <si>
    <t>7d49c45f-4c6f-4cdc-8a8a-ff6d76bc1567</t>
  </si>
  <si>
    <t>34.031</t>
  </si>
  <si>
    <t>0e201389-8d05-4794-8197-d6e8f9633e49</t>
  </si>
  <si>
    <t>34.032</t>
  </si>
  <si>
    <t>5877239a-cf84-4ac2-8acb-829cb4252185</t>
  </si>
  <si>
    <r>
      <t>Wechselrichter 2.5 kW</t>
    </r>
    <r>
      <rPr>
        <vertAlign val="superscript"/>
        <sz val="10"/>
        <color rgb="FFFF0000"/>
        <rFont val="Arial"/>
        <family val="2"/>
      </rPr>
      <t>1</t>
    </r>
  </si>
  <si>
    <r>
      <t xml:space="preserve">Onduleur 2.5 kW </t>
    </r>
    <r>
      <rPr>
        <vertAlign val="superscript"/>
        <sz val="10"/>
        <color rgb="FFFF0000"/>
        <rFont val="Arial"/>
        <family val="2"/>
      </rPr>
      <t>1</t>
    </r>
  </si>
  <si>
    <t>34.033</t>
  </si>
  <si>
    <t>3f0bf472-027a-4421-aa10-1d8bd28d3b66</t>
  </si>
  <si>
    <r>
      <t>Wechselrichter 5 kW</t>
    </r>
    <r>
      <rPr>
        <vertAlign val="superscript"/>
        <sz val="10"/>
        <color rgb="FFFF0000"/>
        <rFont val="Arial"/>
        <family val="2"/>
      </rPr>
      <t>1</t>
    </r>
  </si>
  <si>
    <r>
      <t>Onduleur 5 kW</t>
    </r>
    <r>
      <rPr>
        <vertAlign val="superscript"/>
        <sz val="10"/>
        <color rgb="FFFF0000"/>
        <rFont val="Arial"/>
        <family val="2"/>
      </rPr>
      <t xml:space="preserve"> 1</t>
    </r>
  </si>
  <si>
    <t>34.034</t>
  </si>
  <si>
    <t>01e23196-7856-4acf-8926-c9ad60129694</t>
  </si>
  <si>
    <r>
      <t>Wechselrichter 10 kW</t>
    </r>
    <r>
      <rPr>
        <vertAlign val="superscript"/>
        <sz val="10"/>
        <color rgb="FFFF0000"/>
        <rFont val="Arial"/>
        <family val="2"/>
      </rPr>
      <t>1</t>
    </r>
  </si>
  <si>
    <r>
      <t>Onduleur 10 kW</t>
    </r>
    <r>
      <rPr>
        <vertAlign val="superscript"/>
        <sz val="10"/>
        <color rgb="FFFF0000"/>
        <rFont val="Arial"/>
        <family val="2"/>
      </rPr>
      <t xml:space="preserve"> 1</t>
    </r>
  </si>
  <si>
    <t>34.035</t>
  </si>
  <si>
    <t>897456bd-6639-457a-b703-8a13b603b8b9</t>
  </si>
  <si>
    <r>
      <t>Wechselrichter 20 kW</t>
    </r>
    <r>
      <rPr>
        <vertAlign val="superscript"/>
        <sz val="10"/>
        <color rgb="FFFF0000"/>
        <rFont val="Arial"/>
        <family val="2"/>
      </rPr>
      <t>1</t>
    </r>
  </si>
  <si>
    <r>
      <t>Onduleur 20 kW</t>
    </r>
    <r>
      <rPr>
        <vertAlign val="superscript"/>
        <sz val="10"/>
        <color rgb="FFFF0000"/>
        <rFont val="Arial"/>
        <family val="2"/>
      </rPr>
      <t xml:space="preserve"> 1</t>
    </r>
  </si>
  <si>
    <t>34.036</t>
  </si>
  <si>
    <t>3dd4be12-0cd1-49a0-8880-8ba30e1ea3c1</t>
  </si>
  <si>
    <r>
      <t>Elektroinstallation, Photovoltaikanlage</t>
    </r>
    <r>
      <rPr>
        <vertAlign val="superscript"/>
        <sz val="10"/>
        <color rgb="FFFF0000"/>
        <rFont val="Arial"/>
        <family val="2"/>
      </rPr>
      <t>1</t>
    </r>
  </si>
  <si>
    <r>
      <t>Installation électrique, installation photovoltaïque</t>
    </r>
    <r>
      <rPr>
        <vertAlign val="superscript"/>
        <sz val="10"/>
        <color rgb="FFFF0000"/>
        <rFont val="Arial"/>
        <family val="2"/>
      </rPr>
      <t xml:space="preserve"> 1</t>
    </r>
  </si>
  <si>
    <r>
      <rPr>
        <vertAlign val="superscript"/>
        <sz val="9"/>
        <color rgb="FFFF0000"/>
        <rFont val="Arial"/>
        <family val="2"/>
      </rPr>
      <t>1</t>
    </r>
    <r>
      <rPr>
        <sz val="9"/>
        <color rgb="FFFF0000"/>
        <rFont val="Arial"/>
        <family val="2"/>
      </rPr>
      <t xml:space="preserve"> Umweltkennwerte «Herstellung» inklusive Umweltbelastung durch Rücknahme und Recycling</t>
    </r>
  </si>
  <si>
    <t/>
  </si>
  <si>
    <t>1 Caractéristiques environnementales «fabrication», y compris l'impact environnemental de la reprise et du recyclage</t>
  </si>
  <si>
    <t>PEF-es</t>
  </si>
  <si>
    <t xml:space="preserve">ENERGIE
</t>
  </si>
  <si>
    <t>Bezug
Réference</t>
  </si>
  <si>
    <r>
      <t>UBP'</t>
    </r>
    <r>
      <rPr>
        <b/>
        <sz val="9"/>
        <color rgb="FFFF0000"/>
        <rFont val="Arial"/>
        <family val="2"/>
      </rPr>
      <t>21</t>
    </r>
    <r>
      <rPr>
        <b/>
        <sz val="9"/>
        <rFont val="Arial"/>
        <family val="2"/>
      </rPr>
      <t xml:space="preserve">
UBP'21</t>
    </r>
  </si>
  <si>
    <t xml:space="preserve">ÉNERGIE
</t>
  </si>
  <si>
    <t>erneuerbar am Standort</t>
  </si>
  <si>
    <t>renouvelable du site</t>
  </si>
  <si>
    <t>Einheit
Unité</t>
  </si>
  <si>
    <t>41</t>
  </si>
  <si>
    <r>
      <t>Brennstoffe</t>
    </r>
    <r>
      <rPr>
        <b/>
        <vertAlign val="superscript"/>
        <sz val="10"/>
        <rFont val="Arial"/>
        <family val="2"/>
      </rPr>
      <t>1</t>
    </r>
  </si>
  <si>
    <r>
      <t>Combustibles</t>
    </r>
    <r>
      <rPr>
        <b/>
        <vertAlign val="superscript"/>
        <sz val="10"/>
        <rFont val="Arial"/>
        <family val="2"/>
      </rPr>
      <t>1</t>
    </r>
  </si>
  <si>
    <t>41.001</t>
  </si>
  <si>
    <t>48b15cda-179e-4f9a-81c3-7cd01653e920</t>
  </si>
  <si>
    <t>Heizöl EL</t>
  </si>
  <si>
    <t>Endenergie</t>
  </si>
  <si>
    <t>Énergie finale</t>
  </si>
  <si>
    <t>41.002</t>
  </si>
  <si>
    <t>76a19c53-8e44-4806-8bd2-f0d87507a1db</t>
  </si>
  <si>
    <t>Erdgas</t>
  </si>
  <si>
    <t>41.003</t>
  </si>
  <si>
    <t>f12d6f0a-8ea3-450f-b9af-2e8f53758baa</t>
  </si>
  <si>
    <t>Propan/Butan</t>
  </si>
  <si>
    <t>Propane/butane</t>
  </si>
  <si>
    <t>41.004</t>
  </si>
  <si>
    <t>217f6f88-ba46-4c56-850c-80a57dc9daad</t>
  </si>
  <si>
    <t>Kohle Koks</t>
  </si>
  <si>
    <t>Coke de houille</t>
  </si>
  <si>
    <t>41.005</t>
  </si>
  <si>
    <t>0fd32da9-b0cb-424f-ae15-de65666785c4</t>
  </si>
  <si>
    <t>Kohle Brikett</t>
  </si>
  <si>
    <t>Briquette de houille</t>
  </si>
  <si>
    <t>41.006</t>
  </si>
  <si>
    <t>714c90ac-5805-462a-bcaa-d08d11977e3f</t>
  </si>
  <si>
    <t>Stückholz</t>
  </si>
  <si>
    <t>41.010</t>
  </si>
  <si>
    <t>2db29ccb-52fe-4e84-a135-734d8b38c078</t>
  </si>
  <si>
    <t>Stückholz mit Partikelfilter</t>
  </si>
  <si>
    <t>Bûches de bois avec filtre à particules</t>
  </si>
  <si>
    <t>41.007</t>
  </si>
  <si>
    <t>37e0ceac-f8ff-44f1-a1df-6ac995426b5e</t>
  </si>
  <si>
    <t>Holzschnitzel</t>
  </si>
  <si>
    <t>Particules de bois</t>
  </si>
  <si>
    <t>41.011</t>
  </si>
  <si>
    <t>6e44744b-89c3-4e51-bbce-ad8fdfcc77b6</t>
  </si>
  <si>
    <t>Holzschnitzel mit Partikelfilter</t>
  </si>
  <si>
    <t>Particules de bois avec filtre à particules</t>
  </si>
  <si>
    <t>41.008</t>
  </si>
  <si>
    <t>e7b59798-478f-43ff-a576-379dbf6da60d</t>
  </si>
  <si>
    <t>Pellets</t>
  </si>
  <si>
    <t>41.012</t>
  </si>
  <si>
    <t>7ff25854-f861-4a40-9823-65d24b5e1d11</t>
  </si>
  <si>
    <t>Pellets mit Partikelfilter</t>
  </si>
  <si>
    <t>Granules (pellets) avec filtre à particules</t>
  </si>
  <si>
    <t>41.009</t>
  </si>
  <si>
    <t>273feaeb-5b51-4f6b-b42a-f27eb5e1973f</t>
  </si>
  <si>
    <t>Biogas</t>
  </si>
  <si>
    <t>Biogaz</t>
  </si>
  <si>
    <r>
      <rPr>
        <vertAlign val="superscript"/>
        <sz val="10"/>
        <rFont val="Arial"/>
        <family val="2"/>
      </rPr>
      <t>1</t>
    </r>
    <r>
      <rPr>
        <sz val="10"/>
        <rFont val="Arial"/>
        <family val="2"/>
      </rPr>
      <t>Oberer Heizwert</t>
    </r>
  </si>
  <si>
    <r>
      <rPr>
        <vertAlign val="superscript"/>
        <sz val="10"/>
        <rFont val="Arial"/>
        <family val="2"/>
      </rPr>
      <t>1</t>
    </r>
    <r>
      <rPr>
        <sz val="10"/>
        <rFont val="Arial"/>
        <family val="2"/>
      </rPr>
      <t>Pouvoir calorifique supérieur</t>
    </r>
  </si>
  <si>
    <t>42</t>
  </si>
  <si>
    <t>Fernwärme</t>
  </si>
  <si>
    <t>Chauffage urbain</t>
  </si>
  <si>
    <t>42.018</t>
  </si>
  <si>
    <t>d6bcf340-4df2-46b5-8fc3-4c602ae28ef9</t>
  </si>
  <si>
    <t>Atomkraftwerk</t>
  </si>
  <si>
    <t>Centrale nucléaire</t>
  </si>
  <si>
    <t>42.001</t>
  </si>
  <si>
    <t>b5fed222-858b-4b0c-9b79-2004731edfd9</t>
  </si>
  <si>
    <t>Heizzentrale Oel</t>
  </si>
  <si>
    <t>Centrale de chauffage, pétrole</t>
  </si>
  <si>
    <t>42.002</t>
  </si>
  <si>
    <t>4c27aa48-dc77-421c-b747-3cd7bde6ee17</t>
  </si>
  <si>
    <t>Heizzentrale Gas</t>
  </si>
  <si>
    <t>Centrale de chauffage, gaz</t>
  </si>
  <si>
    <t>42.003</t>
  </si>
  <si>
    <t>ff03eee5-5157-4073-ae97-2cb453aadedd</t>
  </si>
  <si>
    <t>Heizzentrale Holz</t>
  </si>
  <si>
    <t>Centrale de chauffage, bois</t>
  </si>
  <si>
    <t>42.004</t>
  </si>
  <si>
    <t>2c1816ea-5584-46cc-970a-ad2510e4ef7b</t>
  </si>
  <si>
    <t>Heizkraftwerk Holz</t>
  </si>
  <si>
    <t>Centrale à cogénération, bois</t>
  </si>
  <si>
    <t>42.006</t>
  </si>
  <si>
    <t>c64180bd-c1b0-4063-9fb3-08cb3fc4c8ab</t>
  </si>
  <si>
    <t>Heizzentrale EWP Abwasser (JAZ 3.4)</t>
  </si>
  <si>
    <t>Centrale de chauffage PACE, eaux usées (COPA 3.4)</t>
  </si>
  <si>
    <t>42.007</t>
  </si>
  <si>
    <t>7e521934-5d8f-40ac-8e17-249fe17da805</t>
  </si>
  <si>
    <t>Heizzentrale EWP Grundwasser (JAZ 3.1)</t>
  </si>
  <si>
    <t>Centrale de chauffage PACE, eaux souterraines (COPA 3.4)</t>
  </si>
  <si>
    <t>42.008</t>
  </si>
  <si>
    <t>9ac34f42-df98-4f3a-b676-3c91f8cff5c1</t>
  </si>
  <si>
    <t>Heizzentrale EWP Erdsonde (JAZ 3.1)</t>
  </si>
  <si>
    <t>Centrale de chauffage PACE, sonde géothermique (COPA 3.9)</t>
  </si>
  <si>
    <t>42.009</t>
  </si>
  <si>
    <t>2601e6f0-975b-4d52-a7bc-d2e4b60f951b</t>
  </si>
  <si>
    <t>Heizzentrale Geothermie</t>
  </si>
  <si>
    <t>Centrale de chauffage, géothermie</t>
  </si>
  <si>
    <t>42.010</t>
  </si>
  <si>
    <t>2b651e64-f7fa-4bcd-a6d8-4f36ea6efe21</t>
  </si>
  <si>
    <t>Heizkraftwerk Geothermie</t>
  </si>
  <si>
    <t>Centrale à cogénération, géothermie</t>
  </si>
  <si>
    <t>42.011</t>
  </si>
  <si>
    <t>8c167af0-64e3-4846-9087-fb1d378e9ee6</t>
  </si>
  <si>
    <t>Kehrichtverbrennung</t>
  </si>
  <si>
    <t>Incinération des ordures ménagères</t>
  </si>
  <si>
    <t>42.012</t>
  </si>
  <si>
    <t>57f12294-3883-4d65-863e-f081764b635a</t>
  </si>
  <si>
    <t>Blockheizkraftwerk Diesel</t>
  </si>
  <si>
    <t>Centrale à cogénération, diesel</t>
  </si>
  <si>
    <t>42.013</t>
  </si>
  <si>
    <t>360395e5-0272-4bfd-913a-e924e088f66f</t>
  </si>
  <si>
    <t>Blockheizkraftwerk Gas</t>
  </si>
  <si>
    <t>Centrale à cogénération, gaz</t>
  </si>
  <si>
    <t>42.014</t>
  </si>
  <si>
    <t>4613ab3e-444a-4a2d-8d5a-b60948fb8dee</t>
  </si>
  <si>
    <t>Blockheizkraftwerk Biogas</t>
  </si>
  <si>
    <t>Centrale à cogénération, biogaz</t>
  </si>
  <si>
    <t>42.016</t>
  </si>
  <si>
    <t>130cb5ce-cd7e-4ed8-96d7-93cb56dd3853</t>
  </si>
  <si>
    <t>Fernwärme Durchschnitt Netze CH</t>
  </si>
  <si>
    <t>Chauffage à distance, moyenne réseaux CH</t>
  </si>
  <si>
    <t>42.017</t>
  </si>
  <si>
    <t>a8516884-b484-4e68-8e30-608d276fa1c0</t>
  </si>
  <si>
    <t>Fernwärme mit Nutzung Kehrichtwärme, Durchschnitt Netze CH</t>
  </si>
  <si>
    <t>Chauffage à distance de l'incinération des ordures, moyenne réseaux CH</t>
  </si>
  <si>
    <t>43</t>
  </si>
  <si>
    <t>Nutzwärme</t>
  </si>
  <si>
    <t>Chaleur utile</t>
  </si>
  <si>
    <t>43.013</t>
  </si>
  <si>
    <t>55460b07-ca34-4a67-8982-2e852bc37223</t>
  </si>
  <si>
    <t>Elektrospeicherofen (Strom CH)</t>
  </si>
  <si>
    <r>
      <t>Nutzwärme</t>
    </r>
    <r>
      <rPr>
        <vertAlign val="superscript"/>
        <sz val="10"/>
        <color rgb="FFFF0000"/>
        <rFont val="Arial"/>
        <family val="2"/>
      </rPr>
      <t>2</t>
    </r>
  </si>
  <si>
    <r>
      <t>Chaleur utile</t>
    </r>
    <r>
      <rPr>
        <vertAlign val="superscript"/>
        <sz val="10"/>
        <color rgb="FFFF0000"/>
        <rFont val="Arial"/>
        <family val="2"/>
      </rPr>
      <t>2</t>
    </r>
  </si>
  <si>
    <t>Four à accumulation électrique (électricité CH)</t>
  </si>
  <si>
    <t>43.014</t>
  </si>
  <si>
    <t>65f87076-fa16-4403-8fae-232d7c9c2f36</t>
  </si>
  <si>
    <t>Elektrospeicherofen (Strom CH zertifiziert)</t>
  </si>
  <si>
    <t>Four à accumulation électrique (électricité certifiée CH)</t>
  </si>
  <si>
    <t>43.001</t>
  </si>
  <si>
    <t>7d9b9d39-8e10-45ca-8ea8-622b3828030b</t>
  </si>
  <si>
    <t>Heizkessel Heizöl EL</t>
  </si>
  <si>
    <r>
      <t>Nutzwärme</t>
    </r>
    <r>
      <rPr>
        <vertAlign val="superscript"/>
        <sz val="10"/>
        <rFont val="Arial"/>
        <family val="2"/>
      </rPr>
      <t>2</t>
    </r>
  </si>
  <si>
    <r>
      <t>Chaleur utile</t>
    </r>
    <r>
      <rPr>
        <vertAlign val="superscript"/>
        <sz val="10"/>
        <rFont val="Arial"/>
        <family val="2"/>
      </rPr>
      <t>2</t>
    </r>
  </si>
  <si>
    <t>Chaudière, mazout EL</t>
  </si>
  <si>
    <t>43.002</t>
  </si>
  <si>
    <t>ba619be9-6606-4dbe-87ed-406ae039d885</t>
  </si>
  <si>
    <t>Heizkessel Erdgas</t>
  </si>
  <si>
    <t>Chaudière, gaz naturel</t>
  </si>
  <si>
    <t>43.003</t>
  </si>
  <si>
    <t>dc135147-dd7c-49a1-a456-3becae0fd4ed</t>
  </si>
  <si>
    <t>Heizkessel Propan / Butan</t>
  </si>
  <si>
    <t>Chaudière, propane/butane</t>
  </si>
  <si>
    <t>43.004</t>
  </si>
  <si>
    <t>8eff895b-6598-421d-8348-73fb966452dc</t>
  </si>
  <si>
    <t>Heizkessel Kohle Koks</t>
  </si>
  <si>
    <t>Chaudière, coke de houille</t>
  </si>
  <si>
    <t>43.005</t>
  </si>
  <si>
    <t>cfc59c80-f1cf-4936-a91e-730144481924</t>
  </si>
  <si>
    <t>Heizkessel Kohle Brikett</t>
  </si>
  <si>
    <t>Chaudière, briquette de houille</t>
  </si>
  <si>
    <t>43.006</t>
  </si>
  <si>
    <t>fc02eb84-74dd-4d52-a0e4-5c20232efbc4</t>
  </si>
  <si>
    <t>Heizkessel Stückholz</t>
  </si>
  <si>
    <t>Chaudière, bûches de bois</t>
  </si>
  <si>
    <t>43.010</t>
  </si>
  <si>
    <t>a3736425-d2ff-4dec-9c77-b28223681b44</t>
  </si>
  <si>
    <t>Heizkessel Stückholz mit Partikelfilter</t>
  </si>
  <si>
    <t>Chaudière, bûches de bois avec filtre à particules</t>
  </si>
  <si>
    <t>43.007</t>
  </si>
  <si>
    <t>5f1933a0-398d-481b-bb23-afcc4517728b</t>
  </si>
  <si>
    <t>Heizkessel Holzschnitzel</t>
  </si>
  <si>
    <t>Chaudière, particules de bois</t>
  </si>
  <si>
    <t>43.011</t>
  </si>
  <si>
    <t>1da5e9bd-101d-4979-b88f-ef3a5c8a60bd</t>
  </si>
  <si>
    <t>Heizkessel Holzschnitzel mit Partikelfilter</t>
  </si>
  <si>
    <t>Chaudière, particules de bois avec filtre à particules</t>
  </si>
  <si>
    <t>43.008</t>
  </si>
  <si>
    <t>c7a584e8-5547-4635-ab55-72ea8498a49d</t>
  </si>
  <si>
    <t>Heizkessel Pellets</t>
  </si>
  <si>
    <t>Chaudière, granules (pellets)</t>
  </si>
  <si>
    <t>43.012</t>
  </si>
  <si>
    <t>678aba03-e476-40da-b927-a3d3f6b3cfd0</t>
  </si>
  <si>
    <t>Heizkessel Pellets mit Partikelfilter</t>
  </si>
  <si>
    <t>Chaudière, granules (pellets) avec filtre à particules</t>
  </si>
  <si>
    <t>43.009</t>
  </si>
  <si>
    <t>e9c79b59-e4d3-49ff-a0d9-290bc7f01055</t>
  </si>
  <si>
    <t>Heizkessel Biogas</t>
  </si>
  <si>
    <t>Chaudière, biogaz</t>
  </si>
  <si>
    <t>44</t>
  </si>
  <si>
    <t>Nutzwärme am Standort erzeugt, inkl. erneuerbare Energien</t>
  </si>
  <si>
    <t>Chaleur utile produite sur place, y compris énergies renouvelables</t>
  </si>
  <si>
    <t>44.001</t>
  </si>
  <si>
    <t>0b18350f-d69a-436d-ae82-e34e89382b2c</t>
  </si>
  <si>
    <t>Elektrowärmepumpe Luft / Wasser (15kW, Altbau, JAZ 2.7, Strom CH)</t>
  </si>
  <si>
    <t>Nutzwärme2</t>
  </si>
  <si>
    <t>Pompe à chaleur électrique air-eau (15kW, ancien, COPA 2.7, électricité CH)</t>
  </si>
  <si>
    <t>44.012</t>
  </si>
  <si>
    <t>4ea61be0-177c-4f44-a0b6-baba4dde43b8</t>
  </si>
  <si>
    <t>Elektrowärmepumpe Luft / Wasser (15kW, Altbau, JAZ 2.7, Strom CH zertifiziert)</t>
  </si>
  <si>
    <t>Pompe à chaleur électrique air-eau (15kW, ancien, COPA 2.7, électricité CH certifiée)</t>
  </si>
  <si>
    <t>44.009</t>
  </si>
  <si>
    <t>58b13ac9-512c-4397-8b96-7c8a77c5cace</t>
  </si>
  <si>
    <t>Elektrowärmepumpe Luft / Wasser (15kW, Neubau, JAZ 4.4, Strom CH)</t>
  </si>
  <si>
    <t>Pompe à chaleur électrique air-eau (15kW, nouveau, COPA 4.4, électricité CH)</t>
  </si>
  <si>
    <t>44.015</t>
  </si>
  <si>
    <t>554cbe26-389f-4e9c-9238-10d1258df06d</t>
  </si>
  <si>
    <t>Elektrowärmepumpe Luft / Wasser (15kW, Neubau, JAZ 4.4, Strom CH zertifiziert)</t>
  </si>
  <si>
    <t>Pompe à chaleur électrique air-eau (15kW, nouveau, COPA 4.4, électricité CH certifiée)</t>
  </si>
  <si>
    <t>44.002</t>
  </si>
  <si>
    <t>a673b8a9-910d-4ddd-85ab-a46bc496654f</t>
  </si>
  <si>
    <t>Elektrowärmepumpe Erdsonden (15kW, Altbau, JAZ 3.2, Strom CH)</t>
  </si>
  <si>
    <t>Pompe à chaleur électrique sonde géothermique (15kW, ancien, COPA 3.2, électricité CH)</t>
  </si>
  <si>
    <t>44.013</t>
  </si>
  <si>
    <t>af3e00a5-f765-4c28-b8f3-90f0ef380730</t>
  </si>
  <si>
    <t>Elektrowärmepumpe Erdsonden (15kW, Altbau, JAZ 3.2, Strom CH zertifiziert)</t>
  </si>
  <si>
    <t>Pompe à chaleur électrique sonde géothermique (15kW, ancien, COPA 3.2, électricité CH certifiée)</t>
  </si>
  <si>
    <t>44.010</t>
  </si>
  <si>
    <t>b9cb39f8-a5b1-46d5-9ffa-c1e1d5d08e24</t>
  </si>
  <si>
    <t>Elektrowärmepumpe Erdsonden (15kW, Neubau, JAZ 5.3, Strom CH)</t>
  </si>
  <si>
    <t>Pompe à chaleur électrique sonde géothermique (15kW, nouveau, COPA 5.3, électricité CH)</t>
  </si>
  <si>
    <t>44.016</t>
  </si>
  <si>
    <t>c807fa71-cf7c-42b1-ac5e-50e329bcc2d9</t>
  </si>
  <si>
    <t>Elektrowärmepumpe Erdsonden (15kW, Neubau, JAZ 5.3, Strom CH zertifiziert)</t>
  </si>
  <si>
    <t>Pompe à chaleur électrique sonde géothermique (15kW, nouveau, COPA 5.3, électricité CH certifiée)</t>
  </si>
  <si>
    <t>44.003</t>
  </si>
  <si>
    <t>ad4e5263-415c-4a35-b9c4-f9e6fe89d367</t>
  </si>
  <si>
    <t>Elektrowärmepumpe Grundwasser (15kW, Altbau, JAZ 3.2, Strom CH)</t>
  </si>
  <si>
    <t>Pompe à chaleur électrique eaux souterraines (15kW, ancien, COPA 3.2, électricité CH)</t>
  </si>
  <si>
    <t>44.014</t>
  </si>
  <si>
    <t>d3f29196-dca0-4212-b79b-21d85d4343e0</t>
  </si>
  <si>
    <t>Elektrowärmepumpe Grundwasser (15kW, Altbau, JAZ 3.2, Strom CH zertifiziert)</t>
  </si>
  <si>
    <t>Pompe à chaleur électrique eaux souterraines (15kW, ancien, COPA 3.2, électricité CH certifiée)</t>
  </si>
  <si>
    <t>44.011</t>
  </si>
  <si>
    <t>d41868f3-7ed1-4518-b290-d9823454d590</t>
  </si>
  <si>
    <t>Elektrowärmepumpe Grundwasser (15kW, Neubau, JAZ 5.3, Strom CH)</t>
  </si>
  <si>
    <t>Pompe à chaleur électrique eaux souterraines (15kW, nouveau, COPA 5.3, électricité CH)</t>
  </si>
  <si>
    <t>44.017</t>
  </si>
  <si>
    <t>bdb8bd74-b9bc-4d08-b2a5-490d3b8b381e</t>
  </si>
  <si>
    <t>Elektrowärmepumpe Grundwasser (15kW, Neubau, JAZ 5.3, Strom CH zertifiziert)</t>
  </si>
  <si>
    <t>Pompe à chaleur électrique eaux souterraines (15kW, nouveau, COPA 5.3, électricité CH certifiée)</t>
  </si>
  <si>
    <t>44.004</t>
  </si>
  <si>
    <t>5d43faac-ced7-442d-9c5b-fd3c98dbf322</t>
  </si>
  <si>
    <t>44.005</t>
  </si>
  <si>
    <t>5f5c1c64-5015-4b87-98a9-84e4e2552dbe</t>
  </si>
  <si>
    <t>Collecteurs solaires plan, chaleur et eau chaude maison individuelle</t>
  </si>
  <si>
    <t>44.006</t>
  </si>
  <si>
    <t>34b2141d-695b-4223-b7ef-74bfd62d5081</t>
  </si>
  <si>
    <t>44.007</t>
  </si>
  <si>
    <t>9867129a-d2ec-4740-a36e-a702062d8d70</t>
  </si>
  <si>
    <t>Collecteurs solaires à tubes, chaleur et eau chaude maison individuelle</t>
  </si>
  <si>
    <t>44.008</t>
  </si>
  <si>
    <t>18d9c1bd-bedd-474b-b652-f28cce940ce9</t>
  </si>
  <si>
    <t>Kleinblockheizkraftwerk, Erdgas</t>
  </si>
  <si>
    <t>Centrale à cogénération, petite, gaz</t>
  </si>
  <si>
    <t>44.018</t>
  </si>
  <si>
    <t>a53faab7-4b4b-49c1-b019-e8fb34f5e330</t>
  </si>
  <si>
    <t>Solarthermieanlage Schrägdach mit Erdsondenregeneration</t>
  </si>
  <si>
    <t>Installation solaire thermique sur toiture inclinée avec régénération par sonde géothermique</t>
  </si>
  <si>
    <t>44.019</t>
  </si>
  <si>
    <t>5cc125f5-2014-4cae-a3c1-aa9035fce5d6</t>
  </si>
  <si>
    <t>Solarthermieanlage Schrägdach mit Warmwasserspeicher</t>
  </si>
  <si>
    <t>Installation solaire thermique sur toiture inclinée avec accumulateur d'eau chaude sanitaire</t>
  </si>
  <si>
    <r>
      <t>2</t>
    </r>
    <r>
      <rPr>
        <sz val="9"/>
        <rFont val="Arial"/>
        <family val="2"/>
      </rPr>
      <t xml:space="preserve">inkl. Verteilverluste (Wärme am Ausgang Wärmeerzeuger)
</t>
    </r>
  </si>
  <si>
    <r>
      <t>2</t>
    </r>
    <r>
      <rPr>
        <sz val="9"/>
        <rFont val="Arial"/>
        <family val="2"/>
      </rPr>
      <t>y compris pertes de distribution (Chaleur à la sortie du producteur de chaleur)</t>
    </r>
    <r>
      <rPr>
        <vertAlign val="superscript"/>
        <sz val="9"/>
        <rFont val="Arial"/>
        <family val="2"/>
      </rPr>
      <t xml:space="preserve">
</t>
    </r>
  </si>
  <si>
    <t>45</t>
  </si>
  <si>
    <t>Elektrizität vom Netz</t>
  </si>
  <si>
    <t>Électricité du réseau</t>
  </si>
  <si>
    <t>45.001</t>
  </si>
  <si>
    <t>435c385f-89c8-4697-b56e-03e6ff69bbf0</t>
  </si>
  <si>
    <t>45.002</t>
  </si>
  <si>
    <t>af5f1204-e32e-4854-a7d7-14358c31b884</t>
  </si>
  <si>
    <t>Erdgaskombikraftwerk GuD</t>
  </si>
  <si>
    <t>Centrale combinée gaz naturel G+V</t>
  </si>
  <si>
    <t>45.024</t>
  </si>
  <si>
    <t>f63eab72-1de0-420c-8980-2c07f13fe242</t>
  </si>
  <si>
    <t>Erdgaskraftwerk</t>
  </si>
  <si>
    <t>Centrale gaz naturel</t>
  </si>
  <si>
    <t>45.023</t>
  </si>
  <si>
    <t>72c73906-19ca-4ffa-bcb6-1d0bf591af7a</t>
  </si>
  <si>
    <t>Braunkohlekraftwerk</t>
  </si>
  <si>
    <t>Centrale au lignite</t>
  </si>
  <si>
    <t>45.003</t>
  </si>
  <si>
    <t>aa08451d-646b-465e-ba87-f402946e572b</t>
  </si>
  <si>
    <t>Steinkohlekraftwerk</t>
  </si>
  <si>
    <t>Centrale au charbon</t>
  </si>
  <si>
    <t>45.004</t>
  </si>
  <si>
    <t>824df77c-1694-439b-b3be-ed1751afb72f</t>
  </si>
  <si>
    <t>Kraftwerk Schweröl</t>
  </si>
  <si>
    <t>Centrale, pétrole</t>
  </si>
  <si>
    <t>45.005</t>
  </si>
  <si>
    <t>71f008b1-b010-49c8-b6f3-12c8b17a1768</t>
  </si>
  <si>
    <t>45.006</t>
  </si>
  <si>
    <t>7c4c72bf-4676-4084-bd34-45e41d445ff0</t>
  </si>
  <si>
    <t>45.007</t>
  </si>
  <si>
    <t>e5a3a6ce-588f-4182-ace1-77d8824dcefb</t>
  </si>
  <si>
    <t>45.008</t>
  </si>
  <si>
    <t>796f0ecd-6673-45de-a0ff-dd1518eb07aa</t>
  </si>
  <si>
    <t>45.009</t>
  </si>
  <si>
    <t>5f8e4f54-bff4-45ab-92c3-80542a3a821d</t>
  </si>
  <si>
    <t>45.011</t>
  </si>
  <si>
    <t>fb939bcf-3036-43c4-a53f-f0112ba5b94f</t>
  </si>
  <si>
    <t>45.012</t>
  </si>
  <si>
    <t>b423276c-108a-4f5d-8956-b7d8d853610e</t>
  </si>
  <si>
    <t>45.013</t>
  </si>
  <si>
    <t>e55b3bc6-ae20-4bd4-a426-4e6d19274567</t>
  </si>
  <si>
    <t>45.014</t>
  </si>
  <si>
    <t>788e955c-ee9b-40e1-ae75-a2324219a711</t>
  </si>
  <si>
    <t>45.027</t>
  </si>
  <si>
    <t>1e8fb369-a0e8-478c-8ca1-dc78163d5a2e</t>
  </si>
  <si>
    <t>45.028</t>
  </si>
  <si>
    <t>f480fec1-83bd-4ad0-a86a-ca7accd68ae3</t>
  </si>
  <si>
    <t>45.029</t>
  </si>
  <si>
    <t>9c7a7e8d-2874-4b08-8700-bbc5459e2760</t>
  </si>
  <si>
    <t>45.030</t>
  </si>
  <si>
    <t>7e70fc16-2414-407e-aacd-40ad589cef59</t>
  </si>
  <si>
    <t>45.015</t>
  </si>
  <si>
    <t>c32126d2-b7b7-4125-829b-8487add5f329</t>
  </si>
  <si>
    <t>Windkraft</t>
  </si>
  <si>
    <t>Énergie éolienne</t>
  </si>
  <si>
    <t>45.016</t>
  </si>
  <si>
    <t>ab036a5d-8e74-4184-b240-982ab6af177e</t>
  </si>
  <si>
    <t>Wasserkraft</t>
  </si>
  <si>
    <t>Énergie hydraulique</t>
  </si>
  <si>
    <t>45.017</t>
  </si>
  <si>
    <t>e1b166b6-6d08-4c94-9521-4ce41d63750f</t>
  </si>
  <si>
    <t>Pumpspeicherung</t>
  </si>
  <si>
    <t>Accumulation par pompage</t>
  </si>
  <si>
    <t>45.018</t>
  </si>
  <si>
    <t>365dfbc7-e5c3-4afa-aa69-8c3299d6df53</t>
  </si>
  <si>
    <t>45.020</t>
  </si>
  <si>
    <t>e4f13ff2-30e8-4233-88b8-d188890c9368</t>
  </si>
  <si>
    <t>CH-Verbrauchermix</t>
  </si>
  <si>
    <t>Mix consommateur CH</t>
  </si>
  <si>
    <t>45.019</t>
  </si>
  <si>
    <t>8a04a598-219a-46dd-8c73-7710995a9e8d</t>
  </si>
  <si>
    <t>CH-Produktionsmix</t>
  </si>
  <si>
    <t>Mix de production CH</t>
  </si>
  <si>
    <t>45.022</t>
  </si>
  <si>
    <t>10572f84-797c-4cd6-9b75-4b2e5c5dff0e</t>
  </si>
  <si>
    <t>Mix Stromprodukte aus erneuerbaren Energien</t>
  </si>
  <si>
    <t>Mix de produits des énergies renouvelables CH</t>
  </si>
  <si>
    <t>45.025</t>
  </si>
  <si>
    <t>11577786-f0fb-40b4-8429-10d1fed583f4</t>
  </si>
  <si>
    <t>CH-Lieferantenmix HKN</t>
  </si>
  <si>
    <t>Mix des fournisseurs CH HKN</t>
  </si>
  <si>
    <t>45.021</t>
  </si>
  <si>
    <t>9c3a1bd6-d71a-4afe-890b-a0c56eb0b49c</t>
  </si>
  <si>
    <t>ENTSO-E-Mix (ehemals UCTE-Mix)</t>
  </si>
  <si>
    <t xml:space="preserve">Mix ENTSO-E (anc. mix UCTE) </t>
  </si>
  <si>
    <t>46</t>
  </si>
  <si>
    <t>Elektrizität am Standort erzeugt, inkl. erneuerbare Energien</t>
  </si>
  <si>
    <t>Électricité produite sur place, y compris énergies renouvelables</t>
  </si>
  <si>
    <t>46.001</t>
  </si>
  <si>
    <t>7be161d6-03fa-4db1-82bc-e6be259a060b</t>
  </si>
  <si>
    <t>46.002</t>
  </si>
  <si>
    <t>ae86904a-9745-4d24-b427-a8908a7f97bd</t>
  </si>
  <si>
    <t>46.003</t>
  </si>
  <si>
    <t>8c2b3e9f-804c-4d75-850b-c609496459af</t>
  </si>
  <si>
    <t>46.004</t>
  </si>
  <si>
    <t>b9c5acff-d08c-4f15-b034-855c6540dbfb</t>
  </si>
  <si>
    <t>46.009</t>
  </si>
  <si>
    <t>20415a4b-ce1c-4e19-ac75-1e77fe55c081</t>
  </si>
  <si>
    <t>46.010</t>
  </si>
  <si>
    <t>80b93f08-816d-481b-a09d-2ebd2702d33a</t>
  </si>
  <si>
    <t>46.011</t>
  </si>
  <si>
    <t>6213e7fb-e81c-4060-8acd-c794dd8ad545</t>
  </si>
  <si>
    <t>46.012</t>
  </si>
  <si>
    <t>b5b7b671-673c-4585-a656-e03ce245f997</t>
  </si>
  <si>
    <t>46.013</t>
  </si>
  <si>
    <t>6110720a-6002-4ac3-9719-08c40a415d32</t>
  </si>
  <si>
    <t>Photovoltaik Mono-Si in Hybridkollektor</t>
  </si>
  <si>
    <t>Photovoltaïque monocristallin en collecteur hybride</t>
  </si>
  <si>
    <t>46.005</t>
  </si>
  <si>
    <t>3f6aa33a-372f-437b-a03e-d2ead135874f</t>
  </si>
  <si>
    <t>46.006</t>
  </si>
  <si>
    <t>d7868367-6236-4c47-8887-693007b13390</t>
  </si>
  <si>
    <t>46.007</t>
  </si>
  <si>
    <t>316f0045-51cf-4a99-a9cf-c1c2eac282bb</t>
  </si>
  <si>
    <t>Biogas, Landwirtschaft</t>
  </si>
  <si>
    <t>Biogaz agricole</t>
  </si>
  <si>
    <t>46.008</t>
  </si>
  <si>
    <t>7d5bd80b-2e77-4498-8c48-dfd001fb7b7f</t>
  </si>
  <si>
    <t>46.014</t>
  </si>
  <si>
    <t>31ad1ddc-f76c-4caf-b168-9c3e6e0772df</t>
  </si>
  <si>
    <t>Kleinblockheizkraftwerk, Biogas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</si>
  <si>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</si>
  <si>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TRANSPORTE
</t>
  </si>
  <si>
    <t>Treibhausgasemissionen
und Klimaeffekte Flugzeugemissionen, RFI=2.5</t>
  </si>
  <si>
    <t xml:space="preserve">TRANSPORTS 
</t>
  </si>
  <si>
    <t>Émissions de gaz à effet de serre et effets climatique des émissions des avions, RFI=2.5</t>
  </si>
  <si>
    <t>Betrieb</t>
  </si>
  <si>
    <t>Fahrzeug</t>
  </si>
  <si>
    <t>Infrastruktur</t>
  </si>
  <si>
    <t>Véhicule</t>
  </si>
  <si>
    <t>Infrastructure</t>
  </si>
  <si>
    <t>61</t>
  </si>
  <si>
    <t>Treibstoffe</t>
  </si>
  <si>
    <t>Carburants</t>
  </si>
  <si>
    <t>61.003</t>
  </si>
  <si>
    <t>2f501d97-9e8d-4251-ba28-42e1c8aee43e</t>
  </si>
  <si>
    <t>Benzin in Personenwagen</t>
  </si>
  <si>
    <t>Essence pour voitures</t>
  </si>
  <si>
    <t>61.009</t>
  </si>
  <si>
    <t>a24fe3ee-3bcc-49df-b744-ab49b725c085</t>
  </si>
  <si>
    <t>Benzin in Scooter</t>
  </si>
  <si>
    <t>Essence pour scooter</t>
  </si>
  <si>
    <t>61.005</t>
  </si>
  <si>
    <t>7aa3b385-146c-4c8e-862f-40c65a9d819f</t>
  </si>
  <si>
    <t>Biogas in Personenwagen</t>
  </si>
  <si>
    <t>Biogaz pour voitures</t>
  </si>
  <si>
    <t>61.001</t>
  </si>
  <si>
    <t>75668959-4010-4847-84d0-c812c912fde5</t>
  </si>
  <si>
    <t>Diesel in Baumaschine</t>
  </si>
  <si>
    <t>Gasoil pour engin de chantier, sans FAP</t>
  </si>
  <si>
    <t>61.002</t>
  </si>
  <si>
    <t>1a62ced9-c2c1-4842-9c00-da135c6369f8</t>
  </si>
  <si>
    <t>Diesel in Lastwagen</t>
  </si>
  <si>
    <t>Gasoil pour camions</t>
  </si>
  <si>
    <t>61.004</t>
  </si>
  <si>
    <t>846f23d4-0ae0-44fe-82a4-34ddb2f390ce</t>
  </si>
  <si>
    <t>Diesel in Personenwagen</t>
  </si>
  <si>
    <t>Gasoil pour voitures</t>
  </si>
  <si>
    <t>61.006</t>
  </si>
  <si>
    <t>906187f7-fe0a-4635-ad9a-93844a480be0</t>
  </si>
  <si>
    <t>Erdgas in Personenwagen</t>
  </si>
  <si>
    <t>gaz naturel pour voitures</t>
  </si>
  <si>
    <t>61.007</t>
  </si>
  <si>
    <t>bbac2696-f10c-4fcd-a473-345f95fef0e4</t>
  </si>
  <si>
    <t>Kerosin in Flugzeug</t>
  </si>
  <si>
    <t>Kérosène pour avions</t>
  </si>
  <si>
    <t>61.008</t>
  </si>
  <si>
    <t>c0a35414-64d8-4f98-9496-6f6048563dbf</t>
  </si>
  <si>
    <t>Strom CH-Verbrauchermix in Personenwagen</t>
  </si>
  <si>
    <t xml:space="preserve">Mix de consommation d'électricité CH dans les voitures </t>
  </si>
  <si>
    <t>61.010</t>
  </si>
  <si>
    <t>0648099d-a023-44a0-bf23-9a7c41cb7493</t>
  </si>
  <si>
    <t>Mix Stromprodukte aus erneuerbaren Energien in Personenwagen</t>
  </si>
  <si>
    <t xml:space="preserve">Mix de produits électriques issus d'énergies renouvelables dans les voitures </t>
  </si>
  <si>
    <t>62</t>
  </si>
  <si>
    <t>Güter-Transporte</t>
  </si>
  <si>
    <t>Transports de marchandises</t>
  </si>
  <si>
    <t>192fa484-f768-414f-9c56-b0a733701185</t>
  </si>
  <si>
    <t>Aushub maschinell, Durchschnitt</t>
  </si>
  <si>
    <t>Aushubvolumen</t>
  </si>
  <si>
    <t>Excavations mécaniques, en moyenne</t>
  </si>
  <si>
    <t>62.014</t>
  </si>
  <si>
    <t>fa78d673-221b-4299-9370-9ea7fc7b7201</t>
  </si>
  <si>
    <t>Aushub maschinell, mit PF</t>
  </si>
  <si>
    <t>Excavations mécaniques, avec FAP</t>
  </si>
  <si>
    <t>62.015</t>
  </si>
  <si>
    <t>5b8ad07a-5dfd-4268-9b59-e81727aa9e37</t>
  </si>
  <si>
    <t>Aushub maschinell, ohne PF</t>
  </si>
  <si>
    <t>Excavations mécaniques, sans FAP</t>
  </si>
  <si>
    <t>62.002</t>
  </si>
  <si>
    <t>9e6a5775-fba3-4a40-92db-c8b26d8ecb66</t>
  </si>
  <si>
    <t>Binnenschiff</t>
  </si>
  <si>
    <t>Transportleistung</t>
  </si>
  <si>
    <t>Rend.du transp.</t>
  </si>
  <si>
    <t>Cargo de marchandise, navigation intérieure</t>
  </si>
  <si>
    <t>62.011</t>
  </si>
  <si>
    <t>7e0ad8be-a4dd-4748-ba1d-afe835227239</t>
  </si>
  <si>
    <t>Flugzeug, Durchschnitt</t>
  </si>
  <si>
    <t>Transport aérien, moyenne</t>
  </si>
  <si>
    <t>62.012</t>
  </si>
  <si>
    <t>530ea19b-f85d-40bd-bd24-1befcf388c51</t>
  </si>
  <si>
    <t>Flugzeug, Kurzstrecke</t>
  </si>
  <si>
    <t>Transport aérien, courte distance</t>
  </si>
  <si>
    <t>2b03b3a7-900b-470f-8720-e5574476748d</t>
  </si>
  <si>
    <t>Flugzeug, Mittelstrecke</t>
  </si>
  <si>
    <t>Transport aérien, moyenne distance</t>
  </si>
  <si>
    <t>62.013</t>
  </si>
  <si>
    <t>e8dd7784-f3bc-469c-9bf9-305edf7c35e0</t>
  </si>
  <si>
    <t>Flugzeug, Langstrecke</t>
  </si>
  <si>
    <t>Transport aérien, longue distance</t>
  </si>
  <si>
    <t>62.003</t>
  </si>
  <si>
    <t>ce5160e7-2652-4d5c-a7d9-578739702590</t>
  </si>
  <si>
    <t>Güterzug</t>
  </si>
  <si>
    <t>Train de marchandises</t>
  </si>
  <si>
    <t>62.004</t>
  </si>
  <si>
    <t>98c0ca0e-2b4b-4f1e-927e-45bc97978d14</t>
  </si>
  <si>
    <t>Helikopter</t>
  </si>
  <si>
    <t>Einsatzzeit</t>
  </si>
  <si>
    <t>h</t>
  </si>
  <si>
    <t>Heures de vol</t>
  </si>
  <si>
    <t>Hélicoptère</t>
  </si>
  <si>
    <t>62.005</t>
  </si>
  <si>
    <t>8d21ab67-f82e-42ce-ace1-1c9cbef3e174</t>
  </si>
  <si>
    <t>Hochseeschiff</t>
  </si>
  <si>
    <t>Navire de haute mer</t>
  </si>
  <si>
    <t>62.006</t>
  </si>
  <si>
    <t>99900926-db70-45a7-9875-973f457cf694</t>
  </si>
  <si>
    <t>Hochseetanker</t>
  </si>
  <si>
    <t>Pétrolier de haute mer</t>
  </si>
  <si>
    <t>62.007</t>
  </si>
  <si>
    <t>c08efd88-421b-424e-a7ac-67970cde68a5</t>
  </si>
  <si>
    <t>Kleintransporter (&lt;3.5 t)</t>
  </si>
  <si>
    <t xml:space="preserve">Véhicule de transport, jusqu'à 3.5 t </t>
  </si>
  <si>
    <t>5fa8d2dc-1163-4b0d-914a-9c5964a00a41</t>
  </si>
  <si>
    <t>Lastwagen, Durchschnitt</t>
  </si>
  <si>
    <t>Camion</t>
  </si>
  <si>
    <t>62.017</t>
  </si>
  <si>
    <t>5d897a96-3867-4796-ba8f-d9778eefe4b0</t>
  </si>
  <si>
    <t>Lastwagen 3.5t-7.5 t</t>
  </si>
  <si>
    <t>Camion 3.5-7.5 t</t>
  </si>
  <si>
    <t>62.009</t>
  </si>
  <si>
    <t>45fc03e9-fc3a-42e3-a26f-961cdd508610</t>
  </si>
  <si>
    <t>Lastwagen 7.5-16 t</t>
  </si>
  <si>
    <t>Camion 7.5-16 t</t>
  </si>
  <si>
    <t>62.008</t>
  </si>
  <si>
    <t>03d60ff1-5760-4af4-b41f-dfdfa9e00ebd</t>
  </si>
  <si>
    <t>Lastwagen 16-32 t</t>
  </si>
  <si>
    <t>Camion 16-32 t</t>
  </si>
  <si>
    <t>62.010</t>
  </si>
  <si>
    <t>81ff247c-a05e-44ff-93b2-6f6f75c880c6</t>
  </si>
  <si>
    <t>Lastwagen 32-40 t</t>
  </si>
  <si>
    <t>Camion 32-40 t</t>
  </si>
  <si>
    <t>63</t>
  </si>
  <si>
    <t>Personen-Transporte</t>
  </si>
  <si>
    <t>Transports de personnes</t>
  </si>
  <si>
    <t>63.003</t>
  </si>
  <si>
    <t>639b80ae-0821-4f4b-8447-820736eefbf3</t>
  </si>
  <si>
    <t>Autobus</t>
  </si>
  <si>
    <t>pkm</t>
  </si>
  <si>
    <t>63.001</t>
  </si>
  <si>
    <t>936c7fc5-c2f5-47e7-98e0-d63c9dfdad2c</t>
  </si>
  <si>
    <t>Fernreisezug Schweiz</t>
  </si>
  <si>
    <t>Train de grand parcours Suisse</t>
  </si>
  <si>
    <t>63.002</t>
  </si>
  <si>
    <t>498d46c7-96b6-4eaa-888f-482b78ec8702</t>
  </si>
  <si>
    <t>Fernreisezug Deutschland, ICE</t>
  </si>
  <si>
    <t>Train de grand parcours Allemagne, ICE</t>
  </si>
  <si>
    <t>63.004</t>
  </si>
  <si>
    <t>17337744-89d8-4322-95e5-d3c01644b732</t>
  </si>
  <si>
    <t>Avion passagers, moyenne</t>
  </si>
  <si>
    <t>63.005</t>
  </si>
  <si>
    <t>e4a0cd88-9d2b-42d1-9b6c-3cd45cab602f</t>
  </si>
  <si>
    <t>63.020</t>
  </si>
  <si>
    <t>36d56077-a2c6-4262-bc1a-12f639cfbf86</t>
  </si>
  <si>
    <t>63.006</t>
  </si>
  <si>
    <t>be200c87-697e-4f6d-99f5-442746532418</t>
  </si>
  <si>
    <t>63.018</t>
  </si>
  <si>
    <t>cd905854-8cf8-4402-ab44-ec2ddd556191</t>
  </si>
  <si>
    <t>Helikopter, einmotorig</t>
  </si>
  <si>
    <t>Hélicoptère, monomoteur</t>
  </si>
  <si>
    <t>63.019</t>
  </si>
  <si>
    <t>574ce30f-1fb8-47d9-b6e5-3baa46a7b04e</t>
  </si>
  <si>
    <t>Helikopter, zweimotorig</t>
  </si>
  <si>
    <t>Hélicoptère, bimoteur</t>
  </si>
  <si>
    <t>63.007</t>
  </si>
  <si>
    <t>8ec072ee-ccde-456a-b459-44a9bcef8fda</t>
  </si>
  <si>
    <t>Personenwagen, Durchschnitt</t>
  </si>
  <si>
    <t>Voiture, moyenne</t>
  </si>
  <si>
    <t>63.008</t>
  </si>
  <si>
    <t>869dd3a6-bab4-4514-b4a0-ed9fa2016c98</t>
  </si>
  <si>
    <t>Personenwagen, Benzin</t>
  </si>
  <si>
    <t>Voiture, essence</t>
  </si>
  <si>
    <t>63.014</t>
  </si>
  <si>
    <t>18ca5284-0e6c-43b2-b7ab-269e77f63e1a</t>
  </si>
  <si>
    <t>Personenwagen, Biogas</t>
  </si>
  <si>
    <t>Voiture, biogaz</t>
  </si>
  <si>
    <t>63.009</t>
  </si>
  <si>
    <t>9cb98357-d3a0-4e16-94a9-a980715308f4</t>
  </si>
  <si>
    <t>Personenwagen, Diesel</t>
  </si>
  <si>
    <t>Voiture, gasoil</t>
  </si>
  <si>
    <t>63.016</t>
  </si>
  <si>
    <t>67d5599d-922b-4edf-8eb0-47c89d5e6e68</t>
  </si>
  <si>
    <t>Personenwagen, elektrisch, Strom CH-Verbrauchermix</t>
  </si>
  <si>
    <t>Voiture, électrique, électricité CH mix de consommation</t>
  </si>
  <si>
    <t>19859d9e-a517-424e-bfd6-745d6b25220b</t>
  </si>
  <si>
    <t>Personenwagen, elektrisch, Mix Stromprodukte aus erneuerbaren Energien</t>
  </si>
  <si>
    <t>Voiture, électrique, mix de produits électriques issus d'énergies renouvelables</t>
  </si>
  <si>
    <t>63.015</t>
  </si>
  <si>
    <t>32de6f5b-c02c-417f-87c4-5ecd27c9d3ba</t>
  </si>
  <si>
    <t>Personenwagen, Erdgas</t>
  </si>
  <si>
    <t>Voiture, gaz naturel</t>
  </si>
  <si>
    <t>63.010</t>
  </si>
  <si>
    <t>4d9335c4-23a4-4480-99f9-5fe46ddc3e2e</t>
  </si>
  <si>
    <t>Regionalzug</t>
  </si>
  <si>
    <t>Train régional</t>
  </si>
  <si>
    <t>63.011</t>
  </si>
  <si>
    <t>3d2cb5df-7a84-4d37-83bd-58f2a5e40496</t>
  </si>
  <si>
    <t>Reisebus</t>
  </si>
  <si>
    <t>Autocar</t>
  </si>
  <si>
    <t>63.017</t>
  </si>
  <si>
    <t>7821129d-8499-4714-8f26-b0719e441ccf</t>
  </si>
  <si>
    <t>Scooter, Benzin</t>
  </si>
  <si>
    <t>Scooter, essence</t>
  </si>
  <si>
    <t>63.012</t>
  </si>
  <si>
    <t>3354a876-e67d-4ca1-b01b-538ba00b056e</t>
  </si>
  <si>
    <t>Tram</t>
  </si>
  <si>
    <t>63.013</t>
  </si>
  <si>
    <t>fffdbb46-664c-4d3d-b162-b5b17f4c56fa</t>
  </si>
  <si>
    <t>Trolleybus</t>
  </si>
  <si>
    <t>64</t>
  </si>
  <si>
    <t>64.003</t>
  </si>
  <si>
    <t>c9b16d71-7646-49d1-a76a-bffddb54f015</t>
  </si>
  <si>
    <t>Fahrleistung</t>
  </si>
  <si>
    <t>km</t>
  </si>
  <si>
    <t>km parcourus</t>
  </si>
  <si>
    <t>64.001</t>
  </si>
  <si>
    <t>b98877be-44b0-4c98-b3a7-7c4d64c149df</t>
  </si>
  <si>
    <t>64.002</t>
  </si>
  <si>
    <t>4f434c3e-0a1f-473e-b630-aec87735a841</t>
  </si>
  <si>
    <t>64.004</t>
  </si>
  <si>
    <t>cdd00836-a3cf-4544-af00-c1d686b823f9</t>
  </si>
  <si>
    <t>64.005</t>
  </si>
  <si>
    <t>05c80ab2-fcb7-48e4-90b6-ffed90ea9544</t>
  </si>
  <si>
    <t>64.020</t>
  </si>
  <si>
    <t>40142491-1abe-4ed0-a06c-7ea0281320df</t>
  </si>
  <si>
    <t>64.006</t>
  </si>
  <si>
    <t>b443c65e-52c0-4483-8f00-a589e713d9b2</t>
  </si>
  <si>
    <t>64.018</t>
  </si>
  <si>
    <t>04e3dafe-9a28-42cf-af8e-85174df74a5f</t>
  </si>
  <si>
    <t>64.019</t>
  </si>
  <si>
    <t>a4c4a7c7-edba-47b4-81e8-de2fd4b23ada</t>
  </si>
  <si>
    <t>64.007</t>
  </si>
  <si>
    <t>5efca70b-ee7e-4395-a795-4866ae9ade23</t>
  </si>
  <si>
    <t>64.008</t>
  </si>
  <si>
    <t>e6ec944d-439d-4388-b161-f4837b964320</t>
  </si>
  <si>
    <t>64.014</t>
  </si>
  <si>
    <t>212f2861-b439-41a0-95e2-f95ea533e23b</t>
  </si>
  <si>
    <t>64.009</t>
  </si>
  <si>
    <t>450cb3ca-72ff-4a3d-a998-ab18f7f9de06</t>
  </si>
  <si>
    <t>64.016</t>
  </si>
  <si>
    <t>cdb7efe1-eca4-4e0a-9fc2-4ba23c7df0df</t>
  </si>
  <si>
    <t>8c876651-0dc1-418d-8122-1fe556d6de2c</t>
  </si>
  <si>
    <t>64.015</t>
  </si>
  <si>
    <t>31e905ea-d939-4025-b658-fcb95cf5100c</t>
  </si>
  <si>
    <t>64.010</t>
  </si>
  <si>
    <t>1b7e2339-c3e5-474f-b05f-e83111ec4d4c</t>
  </si>
  <si>
    <t>64.011</t>
  </si>
  <si>
    <t>e538f236-bcbe-4fc4-a7ff-5997d784d387</t>
  </si>
  <si>
    <t>64.017</t>
  </si>
  <si>
    <t>51079ea1-4dfc-4405-aff5-f104b7390cf0</t>
  </si>
  <si>
    <t>64.012</t>
  </si>
  <si>
    <t>9d0a23d2-9366-4c44-9db2-4a21a6aae5e8</t>
  </si>
  <si>
    <t>64.013</t>
  </si>
  <si>
    <t>a45a9c9c-a8ae-470c-a9c1-47ad619227c7</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</si>
  <si>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</si>
  <si>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Cet outil calcule le bilan carbone des bâtiments pour la construction de nouveau bâtiment et pour leur exploitation</t>
  </si>
  <si>
    <t>Les onglets "Outil simplifié" et "Outil détaillé" permettent le dimensionnement rapide d'un bâtiment dans des phases d'avant projet</t>
  </si>
  <si>
    <t>Ce ne sont que des indications et elles ne sont pas utilisées plus loin dans le calcul, inutile de les changer</t>
  </si>
  <si>
    <t>L'onglet "Outil détaillé" permet de préciser le projet. Les valeurs doivent être changées dans les cases blanches</t>
  </si>
  <si>
    <t>Soit en changeant une composition par une autre composition proposée</t>
  </si>
  <si>
    <t>En imprimant l'"Outil simplifié", il est ainsi possible d'avoir un aperçu des entrées et des résultats.</t>
  </si>
  <si>
    <t>Il est aussi possible d'imprimer l' "Outil détaillé" pour avoir les choix constructifs avec leurs impacts et un peu plus de détails</t>
  </si>
  <si>
    <t>L'onglet fait référence à la décomposition e-CCC du CRB, elle est indiquée, soit en colonne B dans l "Outil détaillé" ou en colonne X dans la "Décomposition</t>
  </si>
  <si>
    <t>Pour les afficher, il faut faire un clic droite sur le nom d'un autre onglet, et cliquer sur "Afficher..." et choisir lequel afficher en plus.</t>
  </si>
  <si>
    <t>De la même façon, il est possible de masquer les onglets non désirables</t>
  </si>
  <si>
    <t xml:space="preserve">SIA 2032 - 2020 : </t>
  </si>
  <si>
    <t>Budget remplacements (20 ans) [kgCO2eq/m2]</t>
  </si>
  <si>
    <t>Budget remplacements (40 ans) [kgCO2eq/m2]</t>
  </si>
  <si>
    <t>Budget remplacements (30 ans) [kgCO2eq/m2]</t>
  </si>
  <si>
    <t>Impact</t>
  </si>
  <si>
    <t>Sia 2032</t>
  </si>
  <si>
    <t>Structure bois avec pilliers bois</t>
  </si>
  <si>
    <t>Gardecorps? Structure  bois + bardage bois</t>
  </si>
  <si>
    <t>Balcons bois y c. dispositifs antichute</t>
  </si>
  <si>
    <t>Fouilles B06 / B07.02</t>
  </si>
  <si>
    <t>Fondations, radiers [C01]</t>
  </si>
  <si>
    <t>Revetements de facades</t>
  </si>
  <si>
    <t>Parois intérieures, revetements de parois</t>
  </si>
  <si>
    <t>Revetements de sols et de plafonds</t>
  </si>
  <si>
    <t>Cage d'escalier</t>
  </si>
  <si>
    <t>Cage ascenseur et escalier</t>
  </si>
  <si>
    <t>Triple vitrage isolant, cadre bois-métal, y c. protection solaire</t>
  </si>
  <si>
    <t>Triple vitrage isolant, cadre bois y c. protection solaire</t>
  </si>
  <si>
    <t>Triple vitrage isolant, cadre PVC, y c. protection solaire</t>
  </si>
  <si>
    <t xml:space="preserve">Le but est de comparer avec les valeurs extraites de l'outil Budget carbone </t>
  </si>
  <si>
    <t>Comme l'outil SimpliBat n'inclut pas de calcul carbone dynamique, il est nécessaire d'utiliser les valeurs du budget statique équivalent pour permettre une comparaison</t>
  </si>
  <si>
    <t>Parking extérieur</t>
  </si>
  <si>
    <t>Utilisé sous forme énergétique fabrication</t>
  </si>
  <si>
    <t>Utilisé sous forme de matière fabrication</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</si>
  <si>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</si>
  <si>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</si>
  <si>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</si>
  <si>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</si>
  <si>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</si>
  <si>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</si>
  <si>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</si>
  <si>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</si>
  <si>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</si>
  <si>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</si>
  <si>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</si>
  <si>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</si>
  <si>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</si>
  <si>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</si>
  <si>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</si>
  <si>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</si>
  <si>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</si>
  <si>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</si>
  <si>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</si>
  <si>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</si>
  <si>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</si>
  <si>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</si>
  <si>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</si>
  <si>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</si>
  <si>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</si>
  <si>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</si>
  <si>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Hochbaubeton, Möckli Primärbeton, NPK A, 280 kg CEM II/B-LL (ohne Bewehrung)</t>
  </si>
  <si>
    <t>01.002.08</t>
  </si>
  <si>
    <t>61e656cb-703b-4a7e-b37a-5a66caf11509</t>
  </si>
  <si>
    <t>01.002.09</t>
  </si>
  <si>
    <t>4ec4081f-ee91-4c8b-8891-0a02f03355ef</t>
  </si>
  <si>
    <t>01.002.10</t>
  </si>
  <si>
    <t>f5bafd96-ff44-4bb7-8af5-db92c208f035</t>
  </si>
  <si>
    <t>01.002.11</t>
  </si>
  <si>
    <t>c467b9e9-608b-4434-ab38-2b5415391a74</t>
  </si>
  <si>
    <r>
      <t xml:space="preserve">Betongranulat </t>
    </r>
    <r>
      <rPr>
        <vertAlign val="superscript"/>
        <sz val="10"/>
        <color rgb="FFFF0000"/>
        <rFont val="Arial"/>
        <family val="2"/>
      </rPr>
      <t>1</t>
    </r>
  </si>
  <si>
    <r>
      <t xml:space="preserve">Granulés de béton </t>
    </r>
    <r>
      <rPr>
        <vertAlign val="superscript"/>
        <sz val="10"/>
        <color rgb="FFFF0000"/>
        <rFont val="Arial"/>
        <family val="2"/>
      </rPr>
      <t>1</t>
    </r>
  </si>
  <si>
    <r>
      <t xml:space="preserve">Kies gebrochen </t>
    </r>
    <r>
      <rPr>
        <vertAlign val="superscript"/>
        <sz val="10"/>
        <rFont val="Arial"/>
        <family val="2"/>
      </rPr>
      <t>1</t>
    </r>
  </si>
  <si>
    <t>1'400 - 1'500</t>
  </si>
  <si>
    <r>
      <t xml:space="preserve">Gravier concassé </t>
    </r>
    <r>
      <rPr>
        <vertAlign val="superscript"/>
        <sz val="10"/>
        <rFont val="Arial"/>
        <family val="2"/>
      </rPr>
      <t>1</t>
    </r>
  </si>
  <si>
    <r>
      <t xml:space="preserve">Mischgranulat </t>
    </r>
    <r>
      <rPr>
        <vertAlign val="superscript"/>
        <sz val="10"/>
        <color rgb="FFFF0000"/>
        <rFont val="Arial"/>
        <family val="2"/>
      </rPr>
      <t>1</t>
    </r>
  </si>
  <si>
    <r>
      <t xml:space="preserve">Granulés pour mélange </t>
    </r>
    <r>
      <rPr>
        <vertAlign val="superscript"/>
        <sz val="10"/>
        <color rgb="FFFF0000"/>
        <rFont val="Arial"/>
        <family val="2"/>
      </rPr>
      <t>1</t>
    </r>
  </si>
  <si>
    <r>
      <t xml:space="preserve">Rundkies </t>
    </r>
    <r>
      <rPr>
        <vertAlign val="superscript"/>
        <sz val="10"/>
        <rFont val="Arial"/>
        <family val="2"/>
      </rPr>
      <t>1</t>
    </r>
  </si>
  <si>
    <t>1'600 - 1'700</t>
  </si>
  <si>
    <r>
      <t xml:space="preserve">Gravier rond </t>
    </r>
    <r>
      <rPr>
        <vertAlign val="superscript"/>
        <sz val="10"/>
        <rFont val="Arial"/>
        <family val="2"/>
      </rPr>
      <t>1</t>
    </r>
  </si>
  <si>
    <r>
      <t xml:space="preserve">Sand </t>
    </r>
    <r>
      <rPr>
        <vertAlign val="superscript"/>
        <sz val="10"/>
        <rFont val="Arial"/>
        <family val="2"/>
      </rPr>
      <t>1</t>
    </r>
  </si>
  <si>
    <r>
      <t xml:space="preserve">Sable </t>
    </r>
    <r>
      <rPr>
        <vertAlign val="superscript"/>
        <sz val="1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</si>
  <si>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</si>
  <si>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rPr>
        <b/>
        <sz val="14"/>
        <rFont val="Arial"/>
        <family val="2"/>
      </rPr>
      <t>Élimination</t>
    </r>
  </si>
  <si>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</si>
  <si>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</si>
  <si>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</si>
  <si>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</si>
  <si>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</si>
  <si>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</si>
  <si>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</si>
  <si>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Fabrication, élimination comprise</t>
  </si>
  <si>
    <t>58acdf6e-f510-4403-aac9-ce07bb06668a</t>
  </si>
  <si>
    <t>Batterie, Li-Ionen, 20 kWh, 30 Jahre Nutzungsdauer</t>
  </si>
  <si>
    <t>Batterie, Li-ion, 20 kWh, durée d'utilisation de 30 ans</t>
  </si>
  <si>
    <r>
      <t xml:space="preserve">Solarstromanlage, Marktmix </t>
    </r>
    <r>
      <rPr>
        <vertAlign val="superscript"/>
        <sz val="10"/>
        <rFont val="Arial"/>
        <family val="2"/>
      </rPr>
      <t>1</t>
    </r>
  </si>
  <si>
    <r>
      <t xml:space="preserve">Installations photovoltaïques, mix de marché </t>
    </r>
    <r>
      <rPr>
        <vertAlign val="superscript"/>
        <sz val="10"/>
        <rFont val="Arial"/>
        <family val="2"/>
      </rPr>
      <t>1</t>
    </r>
  </si>
  <si>
    <r>
      <t xml:space="preserve">Solarstromanlage Schrägdach, Marktmix </t>
    </r>
    <r>
      <rPr>
        <vertAlign val="superscript"/>
        <sz val="10"/>
        <rFont val="Arial"/>
        <family val="2"/>
      </rPr>
      <t>1</t>
    </r>
  </si>
  <si>
    <r>
      <t xml:space="preserve">Installations photovoltaïque toiture inclinée, mix de marché </t>
    </r>
    <r>
      <rPr>
        <vertAlign val="superscript"/>
        <sz val="10"/>
        <rFont val="Arial"/>
        <family val="2"/>
      </rPr>
      <t>1</t>
    </r>
  </si>
  <si>
    <r>
      <t xml:space="preserve">Solarstromanlage Flachdach, Marktmix </t>
    </r>
    <r>
      <rPr>
        <vertAlign val="superscript"/>
        <sz val="10"/>
        <rFont val="Arial"/>
        <family val="2"/>
      </rPr>
      <t>1</t>
    </r>
  </si>
  <si>
    <r>
      <t xml:space="preserve">Installations photovoltaïque toiture plate, mix de marché </t>
    </r>
    <r>
      <rPr>
        <vertAlign val="superscript"/>
        <sz val="10"/>
        <rFont val="Arial"/>
        <family val="2"/>
      </rPr>
      <t>1</t>
    </r>
  </si>
  <si>
    <r>
      <t xml:space="preserve">Solarstromanlage Fassade, Marktmix </t>
    </r>
    <r>
      <rPr>
        <vertAlign val="superscript"/>
        <sz val="10"/>
        <rFont val="Arial"/>
        <family val="2"/>
      </rPr>
      <t>1</t>
    </r>
  </si>
  <si>
    <r>
      <t xml:space="preserve">Installations photovoltaïques façade, mix de marché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</si>
  <si>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</si>
  <si>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Installation solaire sur toit incliné, petit système,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</si>
  <si>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</si>
  <si>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</si>
  <si>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</si>
  <si>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</si>
  <si>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 xml:space="preserve">Solarstromanlage Schrägdach, Kleinanlage, CIS </t>
    </r>
    <r>
      <rPr>
        <vertAlign val="superscript"/>
        <sz val="10"/>
        <color rgb="FFFF0000"/>
        <rFont val="Arial"/>
        <family val="2"/>
      </rPr>
      <t>1</t>
    </r>
  </si>
  <si>
    <r>
      <t>Installation solaire sur toit incliné, petit système, CISe</t>
    </r>
    <r>
      <rPr>
        <vertAlign val="superscript"/>
        <sz val="10"/>
        <color rgb="FFFF0000"/>
        <rFont val="Arial"/>
        <family val="2"/>
      </rPr>
      <t xml:space="preserve"> 1 </t>
    </r>
  </si>
  <si>
    <t>Photovoltaik, Marktmix</t>
  </si>
  <si>
    <t>Photovoltaïque, mix de marché</t>
  </si>
  <si>
    <t>Photovoltaik Schrägdach, Marktmix</t>
  </si>
  <si>
    <t>Photovoltaïque toiture inclinée, mix de marché</t>
  </si>
  <si>
    <t>Photovoltaik Flachdach, Marktmix</t>
  </si>
  <si>
    <t>Photovoltaïque toiture plate, mix de marché</t>
  </si>
  <si>
    <t>Photovoltaik Fassade, Marktmix</t>
  </si>
  <si>
    <t>Photovoltaïque façade, mix de marché</t>
  </si>
  <si>
    <t>Photovoltaik Schrägdach, Kleinanlage, Mono-Si</t>
  </si>
  <si>
    <t>Photovoltaïque toiture inclinée, petite installation, monocristalline</t>
  </si>
  <si>
    <t>Photovoltaik Schrägdach, Kleinanlage, Multi-Si</t>
  </si>
  <si>
    <t>Photovoltaïque toiture inclinée, petite installation, polycristalline</t>
  </si>
  <si>
    <t>Photovoltaik Schrägdach, Kleinanlage, CdTe</t>
  </si>
  <si>
    <t>Photovoltaïque toiture inclinée, petite installation, tellurure de cadmium</t>
  </si>
  <si>
    <t>Photovoltaik Schrägdach, Kleinanlage, CIS</t>
  </si>
  <si>
    <t>Photovoltaïque toiture inclinée, petite installation, CIS</t>
  </si>
  <si>
    <t>Phase A [kgCO2eq/m2 SRE]</t>
  </si>
  <si>
    <t>I04</t>
  </si>
  <si>
    <t>Surfaces en dur</t>
  </si>
  <si>
    <t>Route</t>
  </si>
  <si>
    <t>Revêtement extérieur</t>
  </si>
  <si>
    <t>Gravier</t>
  </si>
  <si>
    <t>place/appartement</t>
  </si>
  <si>
    <t>nb de place</t>
  </si>
  <si>
    <t>place/100m2 SBP</t>
  </si>
  <si>
    <t>Nombre place de stationnement extérieur</t>
  </si>
  <si>
    <t>Extérieurs</t>
  </si>
  <si>
    <t>NB places</t>
  </si>
  <si>
    <t>m2/place</t>
  </si>
  <si>
    <t>Biogenic CO2 content [kgCO2/m2 SRE]</t>
  </si>
  <si>
    <t>Revêt. bit. bicouche classique</t>
  </si>
  <si>
    <t>Pavé</t>
  </si>
  <si>
    <t>Gravier 1450kg/m3 35+5cm</t>
  </si>
  <si>
    <t>Excavation 40cm</t>
  </si>
  <si>
    <t>Revêtement stabilisé</t>
  </si>
  <si>
    <t>I01.01/.02 / I04.01/.02/.03</t>
  </si>
  <si>
    <t>Géotextile 200g/m2</t>
  </si>
  <si>
    <t>largeur [m]</t>
  </si>
  <si>
    <t>Surface [m2]</t>
  </si>
  <si>
    <t>Place de stationnement et route</t>
  </si>
  <si>
    <t>Surface</t>
  </si>
  <si>
    <t>Longueur min. [m]</t>
  </si>
  <si>
    <t>fcor</t>
  </si>
  <si>
    <t>Payerne (SIA 2028)</t>
  </si>
  <si>
    <t>Impact parking + route</t>
  </si>
  <si>
    <t>SIA 380/1</t>
  </si>
  <si>
    <t>MINERGIE 2023</t>
  </si>
  <si>
    <t>Base</t>
  </si>
  <si>
    <t>Qh,li0 [kWh/m2]</t>
  </si>
  <si>
    <t>D Qh,li [kWh/m2]</t>
  </si>
  <si>
    <t>Accroisement</t>
  </si>
  <si>
    <t>Ph,li [W/m2]</t>
  </si>
  <si>
    <t>MOPEC 2014:2018</t>
  </si>
  <si>
    <t>Qh,li [kWh/m2]</t>
  </si>
  <si>
    <t>Besoins de chaleur annuels limite</t>
  </si>
  <si>
    <t>Besoins de chaleur annuels cible</t>
  </si>
  <si>
    <t>Qh,ta [kWh/m2]</t>
  </si>
  <si>
    <t>Habitat individuel</t>
  </si>
  <si>
    <t>Eau chaude sanitaire</t>
  </si>
  <si>
    <t>%MOPEC</t>
  </si>
  <si>
    <t>Besoins de chaleur pour l'eau chaude sanitaire [kWh/m2]</t>
  </si>
  <si>
    <t>Biomasse (bois, biogaz, gaz d’épuration)</t>
  </si>
  <si>
    <t>Energies fossiles (mazout, gaz)</t>
  </si>
  <si>
    <t>Solaire, énergie de l'environnement, géothermie</t>
  </si>
  <si>
    <t>Minergie 2023</t>
  </si>
  <si>
    <t>Ehwlk [kWh/m2]</t>
  </si>
  <si>
    <t>Energie finale</t>
  </si>
  <si>
    <r>
      <rPr>
        <sz val="12"/>
        <color theme="1"/>
        <rFont val="Aptos Narrow"/>
        <family val="2"/>
      </rPr>
      <t>θ</t>
    </r>
    <r>
      <rPr>
        <sz val="12"/>
        <color theme="1"/>
        <rFont val="Calibri"/>
        <family val="2"/>
      </rPr>
      <t>e,avg [°C]</t>
    </r>
  </si>
  <si>
    <t>Système choisi</t>
  </si>
  <si>
    <t>Chauffage (Qh,eff ou Qh)</t>
  </si>
  <si>
    <t>Facteur de pondération</t>
  </si>
  <si>
    <t>Eau chaude (Qw)</t>
  </si>
  <si>
    <t>installations générales</t>
  </si>
  <si>
    <t>Eau chaude PAC</t>
  </si>
  <si>
    <t>Eclairage+Appareil+Technique</t>
  </si>
  <si>
    <t>Indice Minergie</t>
  </si>
  <si>
    <t>PV autoconsomation</t>
  </si>
  <si>
    <t>Indice Minergie limite</t>
  </si>
  <si>
    <r>
      <t>E</t>
    </r>
    <r>
      <rPr>
        <vertAlign val="subscript"/>
        <sz val="12"/>
        <color theme="1"/>
        <rFont val="Calibri"/>
        <family val="2"/>
        <scheme val="minor"/>
      </rPr>
      <t>HWLK</t>
    </r>
    <r>
      <rPr>
        <sz val="12"/>
        <color theme="1"/>
        <rFont val="Calibri"/>
        <family val="2"/>
        <scheme val="minor"/>
      </rPr>
      <t xml:space="preserve"> limite</t>
    </r>
  </si>
  <si>
    <t>Electricité du système de chauffage choisi</t>
  </si>
  <si>
    <t>Les besoins d'énergie annuels pondérés pour le chauffage, la préparation de l'eau chaude sanitaire, la ventilation et le rafraîchissement dans les bâtiments à construire ne doivent pas dépasser les valeurs ci-dessous. Valeurs limites par catégorie selon l'art. 1.23 MoPEC 14. Minergie/-P/-A</t>
  </si>
  <si>
    <t>rendement</t>
  </si>
  <si>
    <t>0 car que impact électricité du réseau</t>
  </si>
  <si>
    <t>Besoin en électricité [kWh]</t>
  </si>
  <si>
    <t>SIA38071 dit : Les valeurs sont à utiliser exclusivement pour les justificatifs destinés aux autorités. Pour toutes les autres
applications, les bases normatives SIA 385/2 et SIA 2024 sont valables.</t>
  </si>
  <si>
    <t>Minergie dit : Les besoins standards selon norme SIA 380/1:2016 pour la production d'eau chaude entrent dans le calcul de l'indice Minergie. Les besoins énergétiques pour la production d'eau chaude selon norme SIA 385 peuvent entrés dans le calcul de l'indice Minergie. Qww=Besoins de chaleur pour l'eau chaude selon les normes SIA 380/1:2016 ou 385/1 resp. 385/2</t>
  </si>
  <si>
    <t>Eclairage selon la norme SIA 387/4. Si le projet ne nécessite pas de justificatif de l'éclairage, il est possible d'opter pour les valeurs des besoins standards selon la norme SIA 387/4.</t>
  </si>
  <si>
    <t>SIA 2024 - standard</t>
  </si>
  <si>
    <t>La SIA 2024, annexe F reprend les besoins en eau chaude de la SIA 385/2</t>
  </si>
  <si>
    <t>La SIA 2024, annexe F reprend la demande d'énergie pour l'éclairage  de la SIA SIA 387/4</t>
  </si>
  <si>
    <r>
      <t>E</t>
    </r>
    <r>
      <rPr>
        <b/>
        <vertAlign val="subscript"/>
        <sz val="12"/>
        <color theme="1"/>
        <rFont val="Calibri"/>
        <family val="2"/>
        <scheme val="minor"/>
      </rPr>
      <t>HWLK</t>
    </r>
  </si>
  <si>
    <t>Système de chauffage choisi</t>
  </si>
  <si>
    <t>kgCO2/m2SRE</t>
  </si>
  <si>
    <t>SIA 2024:2021, annexe F</t>
  </si>
  <si>
    <t>PV installé min [W/m2 SRE]</t>
  </si>
  <si>
    <t>Chauffage en focntion de EHWLK limite</t>
  </si>
  <si>
    <t>Chauffage en focntion de l'Indice Minergie limite</t>
  </si>
  <si>
    <t>Autoprod. PV autoconsommée</t>
  </si>
  <si>
    <t>Valeurs limites besoins de chauffage, Qh,li défini dans le MoPEC 14. Module de base, section B, annexe 3.</t>
  </si>
  <si>
    <t>PAC géothermique</t>
  </si>
  <si>
    <t>PAC air-air</t>
  </si>
  <si>
    <t>PAC</t>
  </si>
  <si>
    <t>chauffage</t>
  </si>
  <si>
    <t>CO2-eq</t>
  </si>
  <si>
    <t>Réseau suisse comme consommateur</t>
  </si>
  <si>
    <t>Réseau suisse comme producteur</t>
  </si>
  <si>
    <t>Photovoltaïque</t>
  </si>
  <si>
    <t>Rendement thermique</t>
  </si>
  <si>
    <t>Fraction utile η ou COP des producteurs de chaleur / Valeurs standard de Minergie 2023, annexe B3</t>
  </si>
  <si>
    <t xml:space="preserve">Besoins en kWh/m2 </t>
  </si>
  <si>
    <t>degré de couverture annuel d’une installation PV</t>
  </si>
  <si>
    <t>f_fr,PV</t>
  </si>
  <si>
    <t>part du besoin d’électricité durant la journée (7–19 h) par rapport à la demande
d’électricité globale du bâtiment; les valeurs types sont situées entre 0,5 (habitation)
et 0,6 (bureau)</t>
  </si>
  <si>
    <t>f_el,b,d</t>
  </si>
  <si>
    <t>f_el,b,su</t>
  </si>
  <si>
    <t>part du besoin d’électricité en été (avril à septembre) par rapport à la demande
d’électricité globale du bâtiment; les valeurs types sont situées entre 0,5 (bâtiment
d’habitation sans pompe à chaleur) et 0,2 (bâtiment avec une consommation
d’énergie pour le chauffage élevée avec pompe à chaleur)</t>
  </si>
  <si>
    <t>f_PV,su</t>
  </si>
  <si>
    <t>Degré de couverture annuel d’une installation PV</t>
  </si>
  <si>
    <t>Nombre d'étages hors-sol</t>
  </si>
  <si>
    <t>part de la production d’énergie de l’installation PV en été (avril à septembre) par rapport à la production annuelle globale d’énergie de l’installation; les valeurs types
sont situées entre 0,75 (modules horizontaux) et 0,6 (modules PV à angle droit sur
la façade sud)</t>
  </si>
  <si>
    <t>Hypothèses pour calcul dynamique</t>
  </si>
  <si>
    <t>Racine de la surface</t>
  </si>
  <si>
    <t>Surface carrée creusée</t>
  </si>
  <si>
    <t>Besoin en énergie [kWh]</t>
  </si>
  <si>
    <t>Nom du fichier</t>
  </si>
  <si>
    <t>Nom du projet</t>
  </si>
  <si>
    <t>Date du projet</t>
  </si>
  <si>
    <t>Caractérisque principale</t>
  </si>
  <si>
    <t>Consommation d'énergie</t>
  </si>
  <si>
    <t>Carbone gris</t>
  </si>
  <si>
    <t>Carbon biogenique</t>
  </si>
  <si>
    <t>Carbone opérationnel</t>
  </si>
  <si>
    <t>L'outil se base sur l'outil SIA 2032 - Annexe D - mis à jour avec la nouvelle version du KBOB (2022 - v6.2) et modifié pour répondre aux exigences de projet</t>
  </si>
  <si>
    <t>KBOB / ecobau / IPB  2009/1:2022, Version 6.2</t>
  </si>
  <si>
    <t>01.001.01</t>
  </si>
  <si>
    <t>2ad0afc4-ce26-42db-b236-b382bb8b7e50</t>
  </si>
  <si>
    <t>Magerbeton, NovoCon Sohlenbeton, 150 kg CEM II/C-M (F-T) (ohne Bewehrung)</t>
  </si>
  <si>
    <t>Béton maigre, NovoCon Sohlenbeton, 150 kg CEM II/C-M (F-T) (sans armature)</t>
  </si>
  <si>
    <t>Béton pour bâtiment, Möckli Primärbeton, NPK A, 280 kg CEM II/B-LL (sans armature)</t>
  </si>
  <si>
    <t>Hochbaubeton, NovoCon Light C25/E30, NPK A, 280 kg CEM II/C-M (F-T) (ohne Bewehrung)</t>
  </si>
  <si>
    <t>Béton pour bâtiment, NovoCon Light C25/E30, NPK A, 280 kg CEM II/C-M (F-T) (sans armature)</t>
  </si>
  <si>
    <t>NovoCon RC-C25/E28, NPK A, 280 kg CEM II/B-LL (ohne Bewehrung)</t>
  </si>
  <si>
    <t>NovoCon RC-C25/E28, NPK A, 280 kg CEM II/B-LL (sans armature)</t>
  </si>
  <si>
    <t>Hochbaubeton, NovoCon C50/E25, NPK A, 280 kg CEM II/C-M (F-T) (ohne Bewehrung)</t>
  </si>
  <si>
    <t>Béton pour bâtiment, NovoCon C50/E25, NPK A, 280 kg CEM II/C-M (F-T) (sans armature)</t>
  </si>
  <si>
    <t>01.002.12</t>
  </si>
  <si>
    <t>e819c673-9c19-49e8-a7da-00c4fcac09a8</t>
  </si>
  <si>
    <t>Hochbaubeton, NovoCon C50/E25, NPK C, 300 kg CEM II/C-M (F-T) (ohne Bewehrung)</t>
  </si>
  <si>
    <t>Béton pour bâtiment, NovoCon C50/E25, NPK C, 300 kg CEM II/C-M (F-T) (sans armature)</t>
  </si>
  <si>
    <t>Hochbaubeton, NovoCon RC-M10/E20, NPK A, 280 kg CEM II/C-M (F-T) (ohne Bewehrung)</t>
  </si>
  <si>
    <t>Béton pour bâtiment, NovoCon RC-M10/E20, NPK A, 280 kg CEM II/C-M (F-T) (sans armature)</t>
  </si>
  <si>
    <t>03.007.01</t>
  </si>
  <si>
    <t>e2d949c3-d7aa-4074-9ea4-fed438c157d5</t>
  </si>
  <si>
    <t>Gipsfaserplatte Fermacell</t>
  </si>
  <si>
    <t>Plaque de plâtre armé de fibres Fermacell</t>
  </si>
  <si>
    <t>Élimination, plaque de plâtre armé de fibres</t>
  </si>
  <si>
    <t>06.003.01</t>
  </si>
  <si>
    <t>9d912763-4033-4f7a-8a17-8c9c19bd8190</t>
  </si>
  <si>
    <t>Armierungsstahl, Stahl Gerlafingen</t>
  </si>
  <si>
    <t>Acier d'armature, Stahl Gerlafingen</t>
  </si>
  <si>
    <t>Élimination, acier d'armature</t>
  </si>
  <si>
    <r>
      <t>kg/m</t>
    </r>
    <r>
      <rPr>
        <b/>
        <vertAlign val="superscript"/>
        <sz val="10"/>
        <rFont val="Arial"/>
        <family val="2"/>
      </rPr>
      <t>3</t>
    </r>
    <r>
      <rPr>
        <b/>
        <sz val="10"/>
        <rFont val="Arial"/>
        <family val="2"/>
      </rPr>
      <t>; kg/lm</t>
    </r>
  </si>
  <si>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</si>
  <si>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</si>
  <si>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</si>
  <si>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</si>
  <si>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</si>
  <si>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</si>
  <si>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</si>
  <si>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</si>
  <si>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</si>
  <si>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</si>
  <si>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</si>
  <si>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</si>
  <si>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</si>
  <si>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</si>
  <si>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</si>
  <si>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</si>
  <si>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</si>
  <si>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</si>
  <si>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t>Les 10 premiers éléments</t>
  </si>
  <si>
    <t>Impacts des éléments</t>
  </si>
  <si>
    <t>Consommation électrique Hiver</t>
  </si>
  <si>
    <t>Rapport Ete/Hiver</t>
  </si>
  <si>
    <t>Consommation total</t>
  </si>
  <si>
    <t>Production total</t>
  </si>
  <si>
    <t>Besoin en énergie</t>
  </si>
  <si>
    <t>Impact carbone total [kgCO2eq/m2SRE]</t>
  </si>
  <si>
    <t>Calcul Autoconsommation selon la norme SIA 2056</t>
  </si>
  <si>
    <t>Ambitieux</t>
  </si>
  <si>
    <t>Habitation</t>
  </si>
  <si>
    <t>Habitation avec presciptions d'occupation</t>
  </si>
  <si>
    <t>Bureau</t>
  </si>
  <si>
    <t>SIA 390</t>
  </si>
  <si>
    <t>kgCO2eq/m2SRE</t>
  </si>
  <si>
    <t>Détails</t>
  </si>
  <si>
    <t xml:space="preserve">Chauffage </t>
  </si>
  <si>
    <t>Electricité hors chauffage/ECS</t>
  </si>
  <si>
    <t>Consommation réseau d'électricité [kgCO2éq/an]</t>
  </si>
  <si>
    <t>Résultats principaux</t>
  </si>
  <si>
    <t>Energie grise</t>
  </si>
  <si>
    <t>Impact construction</t>
  </si>
  <si>
    <t>Impact exploitation</t>
  </si>
  <si>
    <t>Impact construction + exploitation</t>
  </si>
  <si>
    <t>Biogenique</t>
  </si>
  <si>
    <t>Production PV</t>
  </si>
  <si>
    <t>00</t>
  </si>
  <si>
    <t>Technique du bâtiment</t>
  </si>
  <si>
    <t>Transport excavation</t>
  </si>
  <si>
    <t>Type de materiau</t>
  </si>
  <si>
    <t>Energie gris</t>
  </si>
  <si>
    <t>Autre indicateur</t>
  </si>
  <si>
    <t>Impact exploitation (20 ans)</t>
  </si>
  <si>
    <t>Transformation</t>
  </si>
  <si>
    <t>Nouvelle construction</t>
  </si>
  <si>
    <t>Arbords des bâtiments</t>
  </si>
  <si>
    <t>Abords du bâtiment I04</t>
  </si>
  <si>
    <t>Surface extérieure parking</t>
  </si>
  <si>
    <t>Impact revêtement extérieur</t>
  </si>
  <si>
    <t>Revêtement parking</t>
  </si>
  <si>
    <t>Revêtement construit 1</t>
  </si>
  <si>
    <t>Revêtement construit 2</t>
  </si>
  <si>
    <t>Surface extérieure construite 1</t>
  </si>
  <si>
    <t>Surface extérieure construite 2</t>
  </si>
  <si>
    <t>Prescription</t>
  </si>
  <si>
    <t>avec prescriptions d'occupation</t>
  </si>
  <si>
    <t>sans prescriptions d'occupation</t>
  </si>
  <si>
    <t>Cible Ambitieux construction - SIA 390</t>
  </si>
  <si>
    <t>Cible Ambitieux exploitation - SIA 390</t>
  </si>
  <si>
    <t>Eau chaude kWh thermique/kWh elec</t>
  </si>
  <si>
    <t>Chauffage kWh thermique/kWh elec/</t>
  </si>
  <si>
    <t>Si aucune valeur spécifique au projet n’est encore connue, Il est possible d’utilisér dans les
phases d’études préliminaires et d’avant-projet pour les systèmes fonctionnant avec des
combustibles, la valeur de 1 kWh/m2 pour les énergies auxiliaires du chauffage des locaux et
de l’eau chaude sanitaire, pour toutes les catégories d’ouvrages.</t>
  </si>
  <si>
    <t>Pourcentage de matériel réutilisé d'un autre projet(1)</t>
  </si>
  <si>
    <t>1) selon SIA 390/1: Lors des phases d’études préliminaires et d’avant-projet, un forfait de 20 % des émissions
de gaz à effet de serre des éléments de construction neufs peut être utilisé pour les éléments
de construction réutilisé, si leur utilisation est assurée</t>
  </si>
  <si>
    <t>Consommation électrique  Ete</t>
  </si>
  <si>
    <t>Cible Limite construction - SIA 390</t>
  </si>
  <si>
    <t>Cible Limite exploitation - SIA 390</t>
  </si>
  <si>
    <t>Lit de pose</t>
  </si>
  <si>
    <t>Couche de fondation</t>
  </si>
  <si>
    <t>Boutisses 12</t>
  </si>
  <si>
    <t>Béton drainant</t>
  </si>
  <si>
    <t>Pavés à évidements (grilles de gazon)</t>
  </si>
  <si>
    <t>Budget remplacements (20 ans) [kWh/m2]</t>
  </si>
  <si>
    <t>Budget remplacements (30 ans) [kWh/m2]</t>
  </si>
  <si>
    <t>Budget remplacements (40 ans) [kWh/m2]</t>
  </si>
  <si>
    <t>Energie grise totale [kWh/m2SRE]</t>
  </si>
  <si>
    <t>GWP 2022</t>
  </si>
  <si>
    <t>Energie grise - construction - SIA 390</t>
  </si>
  <si>
    <t>Energie grise - exploitation - SIA 390</t>
  </si>
  <si>
    <t>Energie gris construction</t>
  </si>
  <si>
    <t>Energie gris exploitation</t>
  </si>
  <si>
    <t>kgCO2eq</t>
  </si>
  <si>
    <t>Consommation réseau d'électricité [kWh/an]</t>
  </si>
  <si>
    <t>Indices de dépense d'énergie pour l'électricité [kWh/m2.an]</t>
  </si>
  <si>
    <t>Indices de dépense d'énergie total [kWh/m2.an]</t>
  </si>
  <si>
    <t>SIA 390, annexe E</t>
  </si>
  <si>
    <t>Besoins selon les standards de la SIA 390 et Qh,li (non pondéré)</t>
  </si>
  <si>
    <t>Joint</t>
  </si>
  <si>
    <t>Excavation</t>
  </si>
  <si>
    <t>Lit de pose lié</t>
  </si>
  <si>
    <t>Pavé 8/11 - pose non lié</t>
  </si>
  <si>
    <t>Grave 30 cm</t>
  </si>
  <si>
    <t>Grès 8cm</t>
  </si>
  <si>
    <t>12 cm</t>
  </si>
  <si>
    <t>Grave 10 cm</t>
  </si>
  <si>
    <t>Pavé 8/11 - pose liée</t>
  </si>
  <si>
    <t>Pavé 11/13 - pose non lié</t>
  </si>
  <si>
    <t>Pavé 11/13 - pose liée</t>
  </si>
  <si>
    <t>Grès 11cm</t>
  </si>
  <si>
    <t>Boutisses 12 - pose non lié</t>
  </si>
  <si>
    <t>Boutisses 12 - pose liée</t>
  </si>
  <si>
    <t>Grès 12cm</t>
  </si>
  <si>
    <t>Pavé 8/11 - pose mixte</t>
  </si>
  <si>
    <t>Béton 8cm</t>
  </si>
  <si>
    <t>Pavé béton 8 cm - non lié</t>
  </si>
  <si>
    <t>60 cm</t>
  </si>
  <si>
    <t>Grès 11 cm</t>
  </si>
  <si>
    <t>Gravier 6 cm</t>
  </si>
  <si>
    <t>5 cm</t>
  </si>
  <si>
    <t>4 cm</t>
  </si>
  <si>
    <t>Grave 20 cm</t>
  </si>
  <si>
    <t>3 cm</t>
  </si>
  <si>
    <t>5% teneur en ciment &gt;400 kg/m3 de type CEM1 42.5</t>
  </si>
  <si>
    <t>Granulat béton 200kg/m3 CEM I 42.5 - 8 cm</t>
  </si>
  <si>
    <t>Granulat béton 200kg/m3 CEM I 42.5 - t 8 cm</t>
  </si>
  <si>
    <t>Granulat béton 200kg/m3 CEM I 42.5 -  7 cm</t>
  </si>
  <si>
    <t>Granulat béton 200kg/m3 CEM I 42.5 -  6 cm</t>
  </si>
  <si>
    <t>32-40% de remplissage - 4cm</t>
  </si>
  <si>
    <t>Dalle</t>
  </si>
  <si>
    <t>Dalle béton 4 cm - non lié</t>
  </si>
  <si>
    <t>Dalle polie</t>
  </si>
  <si>
    <t>Gravier 1450kg/m3 30cm</t>
  </si>
  <si>
    <t>Enrobé bitumineux</t>
  </si>
  <si>
    <t>Enrobé bitumineux  7cm</t>
  </si>
  <si>
    <t>Gravier 1450kg/m3 20cm</t>
  </si>
  <si>
    <t>Béton 2300kg/m3  15cm</t>
  </si>
  <si>
    <t>Excavation 20cm</t>
  </si>
  <si>
    <t>SIA 390 - standard</t>
  </si>
  <si>
    <t>Revêt. bit. simple</t>
  </si>
  <si>
    <t>Revêt. bit. bicouche</t>
  </si>
  <si>
    <t>Gravier 20 cm</t>
  </si>
  <si>
    <t>Dalle béton 4 cm - lié</t>
  </si>
  <si>
    <t>Dalle rectifié</t>
  </si>
  <si>
    <t>Dalle rectifié - Suisse</t>
  </si>
  <si>
    <t>11.016.02</t>
  </si>
  <si>
    <t>Dalle coupée - Suisse</t>
  </si>
  <si>
    <t>11.016.01</t>
  </si>
  <si>
    <t>Dalle polie - lié</t>
  </si>
  <si>
    <t>Support  7cm</t>
  </si>
  <si>
    <t>Tapis bitumineux 4cm</t>
  </si>
  <si>
    <t>Impact total</t>
  </si>
  <si>
    <t>Abords des bâtiments</t>
  </si>
  <si>
    <t>Total (unité/m2SRE)</t>
  </si>
  <si>
    <t>Total (unité/m2SRE.an)</t>
  </si>
  <si>
    <t>La colonne G reprend les choix fait dans l'outil simplifié.</t>
  </si>
  <si>
    <t>Dans la colonne H, des listes à choix d'éléments prééxistants sont proposées. Si la celulle est vide, la valeur du prédimensionnement (colonne F) sera utilisée.</t>
  </si>
  <si>
    <t>La colonne F indique quel est l'élément choisi pour la suite du calcul</t>
  </si>
  <si>
    <t>De la même manière, la colonne L reprend les choix fait dans l'outil simplifié pour calculer des métrés. Au besoin, ils peuvent être changer dans la colonne L.</t>
  </si>
  <si>
    <t>Si la celulle est vide, la valeur du prédimensionnement (colonne M) sera utilisée.</t>
  </si>
  <si>
    <t>Pour retrouver le détail des compositions, la colonne P indique la ligne de référence dans l'onglet "Décomposition"</t>
  </si>
  <si>
    <t>Pour prendre en compte les matériaux utilisés, il est possible de mettre un taux de réutilisation dans la colonne E</t>
  </si>
  <si>
    <t>Comparaison</t>
  </si>
  <si>
    <t>L'onglet comparaison résume tous les résultats et peut être copier-coller dans l'outil de comparaison</t>
  </si>
  <si>
    <t>Carbone biogénique</t>
  </si>
  <si>
    <t>Exemple</t>
  </si>
  <si>
    <t>Extension (étage supplémentaire)</t>
  </si>
  <si>
    <t>Extension (ajout par la paroi)</t>
  </si>
  <si>
    <t>Résutat en kgCO2éq/m2SRE</t>
  </si>
  <si>
    <t>Résutat en kgCO2éq/m2SRE.an</t>
  </si>
  <si>
    <t>Choix constructifs sur la base des inputs</t>
  </si>
  <si>
    <t>Choix constructifs utilisés</t>
  </si>
  <si>
    <t>Quantités à préciser</t>
  </si>
  <si>
    <t>Quantités utilisées</t>
  </si>
  <si>
    <t>Prendre en compte les éléments détruits: Donc état des lieux de ce qui est existants?</t>
  </si>
  <si>
    <t>Définir ce qui est rénovation</t>
  </si>
  <si>
    <t>Est-ce que l'on le met comme choix?</t>
  </si>
  <si>
    <t>choix par défaut</t>
  </si>
  <si>
    <t>Isolation</t>
  </si>
  <si>
    <t>Changement de fenêtre et de portes</t>
  </si>
  <si>
    <t>Revêtement intérieur parois</t>
  </si>
  <si>
    <t>Changement de système de chauffage</t>
  </si>
  <si>
    <t>changement système de distribution</t>
  </si>
  <si>
    <t>Revêtement sol et plafond</t>
  </si>
  <si>
    <t>Ajout de balcon?</t>
  </si>
  <si>
    <t>Traitement de ponts thermiques</t>
  </si>
  <si>
    <t>Installation PV</t>
  </si>
  <si>
    <t>Sanitaire</t>
  </si>
  <si>
    <t>Augmentation d'un étage</t>
  </si>
  <si>
    <t>--&gt; neuf</t>
  </si>
  <si>
    <t>surrélévation /extension</t>
  </si>
  <si>
    <t>bonus</t>
  </si>
  <si>
    <t>Comment on prend en compte ce que l'on dépose et qui est pas à la fin de vie</t>
  </si>
  <si>
    <t>--&gt; réglémentation</t>
  </si>
  <si>
    <t>--&gt; prendre des valeurs par défaut selon année</t>
  </si>
  <si>
    <t>valeurs par Alessandro</t>
  </si>
  <si>
    <t>diminution des besoins</t>
  </si>
  <si>
    <t>--&gt; outil de calcul énergétique</t>
  </si>
  <si>
    <t>Meilleur efficacité système (ventilation, chauffage)</t>
  </si>
  <si>
    <t>Version 3.0</t>
  </si>
  <si>
    <t>Station climatique</t>
  </si>
  <si>
    <r>
      <rPr>
        <sz val="9"/>
        <color rgb="FF231F20"/>
        <rFont val="Trebuchet MS"/>
        <family val="2"/>
      </rPr>
      <t>(10)    altitude par rapport au niveau de la mer</t>
    </r>
  </si>
  <si>
    <r>
      <rPr>
        <i/>
        <sz val="9"/>
        <color rgb="FF231F20"/>
        <rFont val="Verdana"/>
        <family val="2"/>
      </rPr>
      <t>h</t>
    </r>
  </si>
  <si>
    <r>
      <rPr>
        <sz val="9"/>
        <color rgb="FF231F20"/>
        <rFont val="Trebuchet MS"/>
        <family val="2"/>
      </rPr>
      <t>m</t>
    </r>
  </si>
  <si>
    <t>(17)    surface de référence énergétique</t>
  </si>
  <si>
    <r>
      <rPr>
        <sz val="9"/>
        <color rgb="FF231F20"/>
        <rFont val="Trebuchet MS"/>
        <family val="2"/>
      </rPr>
      <t>m</t>
    </r>
    <r>
      <rPr>
        <vertAlign val="superscript"/>
        <sz val="9"/>
        <color rgb="FF231F20"/>
        <rFont val="Trebuchet MS"/>
        <family val="2"/>
      </rPr>
      <t>2</t>
    </r>
  </si>
  <si>
    <t>facteur de réduction</t>
  </si>
  <si>
    <r>
      <rPr>
        <i/>
        <vertAlign val="superscript"/>
        <sz val="9"/>
        <color rgb="FF231F20"/>
        <rFont val="Verdana"/>
        <family val="2"/>
      </rPr>
      <t>U</t>
    </r>
    <r>
      <rPr>
        <i/>
        <sz val="6"/>
        <color rgb="FF231F20"/>
        <rFont val="Verdana"/>
        <family val="2"/>
      </rPr>
      <t>Re</t>
    </r>
  </si>
  <si>
    <r>
      <rPr>
        <sz val="9"/>
        <color rgb="FF231F20"/>
        <rFont val="Trebuchet MS"/>
        <family val="2"/>
      </rPr>
      <t>W/(m</t>
    </r>
    <r>
      <rPr>
        <vertAlign val="superscript"/>
        <sz val="9"/>
        <color rgb="FF231F20"/>
        <rFont val="Trebuchet MS"/>
        <family val="2"/>
      </rPr>
      <t>2</t>
    </r>
    <r>
      <rPr>
        <sz val="9"/>
        <color rgb="FF231F20"/>
        <rFont val="Trebuchet MS"/>
        <family val="2"/>
      </rPr>
      <t>·K)</t>
    </r>
  </si>
  <si>
    <t>(19) plafond contre locaux non chauffés</t>
  </si>
  <si>
    <r>
      <rPr>
        <sz val="9"/>
        <color rgb="FF231F20"/>
        <rFont val="Trebuchet MS"/>
        <family val="2"/>
      </rPr>
      <t>m</t>
    </r>
    <r>
      <rPr>
        <vertAlign val="superscript"/>
        <sz val="9"/>
        <color rgb="FF231F20"/>
        <rFont val="Trebuchet MS"/>
        <family val="2"/>
      </rPr>
      <t>2</t>
    </r>
    <r>
      <rPr>
        <sz val="11"/>
        <color theme="1"/>
        <rFont val="Calibri"/>
        <family val="2"/>
        <scheme val="minor"/>
      </rPr>
      <t/>
    </r>
  </si>
  <si>
    <r>
      <rPr>
        <i/>
        <vertAlign val="superscript"/>
        <sz val="9"/>
        <color rgb="FF231F20"/>
        <rFont val="Verdana"/>
        <family val="2"/>
      </rPr>
      <t>U</t>
    </r>
    <r>
      <rPr>
        <i/>
        <sz val="6"/>
        <color rgb="FF231F20"/>
        <rFont val="Verdana"/>
        <family val="2"/>
      </rPr>
      <t>Ru</t>
    </r>
  </si>
  <si>
    <r>
      <rPr>
        <i/>
        <vertAlign val="superscript"/>
        <sz val="9"/>
        <color rgb="FF231F20"/>
        <rFont val="Verdana"/>
        <family val="2"/>
      </rPr>
      <t>b</t>
    </r>
    <r>
      <rPr>
        <i/>
        <sz val="6"/>
        <color rgb="FF231F20"/>
        <rFont val="Verdana"/>
        <family val="2"/>
      </rPr>
      <t>uR</t>
    </r>
  </si>
  <si>
    <t>(20) mur exposé à l’air extérieur</t>
  </si>
  <si>
    <r>
      <rPr>
        <i/>
        <vertAlign val="superscript"/>
        <sz val="9"/>
        <color rgb="FF231F20"/>
        <rFont val="Verdana"/>
        <family val="2"/>
      </rPr>
      <t>U</t>
    </r>
    <r>
      <rPr>
        <i/>
        <sz val="6"/>
        <color rgb="FF231F20"/>
        <rFont val="Verdana"/>
        <family val="2"/>
      </rPr>
      <t>We</t>
    </r>
  </si>
  <si>
    <t>(21) mur contre locaux non chauffés</t>
  </si>
  <si>
    <r>
      <rPr>
        <i/>
        <vertAlign val="superscript"/>
        <sz val="9"/>
        <color rgb="FF231F20"/>
        <rFont val="Verdana"/>
        <family val="2"/>
      </rPr>
      <t>U</t>
    </r>
    <r>
      <rPr>
        <i/>
        <sz val="6"/>
        <color rgb="FF231F20"/>
        <rFont val="Verdana"/>
        <family val="2"/>
      </rPr>
      <t>Wu</t>
    </r>
  </si>
  <si>
    <r>
      <rPr>
        <i/>
        <vertAlign val="superscript"/>
        <sz val="9"/>
        <color rgb="FF231F20"/>
        <rFont val="Verdana"/>
        <family val="2"/>
      </rPr>
      <t>b</t>
    </r>
    <r>
      <rPr>
        <i/>
        <sz val="6"/>
        <color rgb="FF231F20"/>
        <rFont val="Verdana"/>
        <family val="2"/>
      </rPr>
      <t>uW</t>
    </r>
  </si>
  <si>
    <t>(22) mur en contact avec le terrain</t>
  </si>
  <si>
    <r>
      <rPr>
        <i/>
        <vertAlign val="superscript"/>
        <sz val="9"/>
        <color rgb="FF231F20"/>
        <rFont val="Verdana"/>
        <family val="2"/>
      </rPr>
      <t>U</t>
    </r>
    <r>
      <rPr>
        <i/>
        <sz val="6"/>
        <color rgb="FF231F20"/>
        <rFont val="Verdana"/>
        <family val="2"/>
      </rPr>
      <t>WG</t>
    </r>
    <r>
      <rPr>
        <sz val="6"/>
        <color rgb="FF231F20"/>
        <rFont val="Trebuchet MS"/>
        <family val="2"/>
      </rPr>
      <t>0</t>
    </r>
  </si>
  <si>
    <r>
      <rPr>
        <i/>
        <vertAlign val="superscript"/>
        <sz val="9"/>
        <color rgb="FF231F20"/>
        <rFont val="Verdana"/>
        <family val="2"/>
      </rPr>
      <t>b</t>
    </r>
    <r>
      <rPr>
        <i/>
        <sz val="6"/>
        <color rgb="FF231F20"/>
        <rFont val="Verdana"/>
        <family val="2"/>
      </rPr>
      <t>GW</t>
    </r>
  </si>
  <si>
    <t>(23) mur contre locaux contigus chauffés dans le périmètre de bilan</t>
  </si>
  <si>
    <r>
      <rPr>
        <i/>
        <vertAlign val="superscript"/>
        <sz val="9"/>
        <color rgb="FF231F20"/>
        <rFont val="Verdana"/>
        <family val="2"/>
      </rPr>
      <t>U</t>
    </r>
    <r>
      <rPr>
        <i/>
        <sz val="6"/>
        <color rgb="FF231F20"/>
        <rFont val="Verdana"/>
        <family val="2"/>
      </rPr>
      <t>Wn</t>
    </r>
  </si>
  <si>
    <t>(24) plancher exposé à l’air extérieur</t>
  </si>
  <si>
    <r>
      <rPr>
        <i/>
        <vertAlign val="superscript"/>
        <sz val="9"/>
        <color rgb="FF231F20"/>
        <rFont val="Verdana"/>
        <family val="2"/>
      </rPr>
      <t>U</t>
    </r>
    <r>
      <rPr>
        <i/>
        <sz val="6"/>
        <color rgb="FF231F20"/>
        <rFont val="Verdana"/>
        <family val="2"/>
      </rPr>
      <t>Fe</t>
    </r>
  </si>
  <si>
    <t>(25) plancher contre locaux non chauffés</t>
  </si>
  <si>
    <r>
      <rPr>
        <i/>
        <vertAlign val="superscript"/>
        <sz val="9"/>
        <color rgb="FF231F20"/>
        <rFont val="Verdana"/>
        <family val="2"/>
      </rPr>
      <t>U</t>
    </r>
    <r>
      <rPr>
        <i/>
        <sz val="6"/>
        <color rgb="FF231F20"/>
        <rFont val="Verdana"/>
        <family val="2"/>
      </rPr>
      <t>Fu</t>
    </r>
  </si>
  <si>
    <r>
      <rPr>
        <i/>
        <vertAlign val="superscript"/>
        <sz val="9"/>
        <color rgb="FF231F20"/>
        <rFont val="Arial Narrow"/>
        <family val="2"/>
      </rPr>
      <t>q</t>
    </r>
    <r>
      <rPr>
        <i/>
        <sz val="6"/>
        <color rgb="FF231F20"/>
        <rFont val="Verdana"/>
        <family val="2"/>
      </rPr>
      <t>in</t>
    </r>
  </si>
  <si>
    <r>
      <rPr>
        <sz val="9"/>
        <color rgb="FF231F20"/>
        <rFont val="Trebuchet MS"/>
        <family val="2"/>
      </rPr>
      <t>°C</t>
    </r>
  </si>
  <si>
    <t>(26) plancher avec système de chauffage intégré en contact avec le terrain</t>
  </si>
  <si>
    <r>
      <rPr>
        <i/>
        <vertAlign val="superscript"/>
        <sz val="9"/>
        <color rgb="FF231F20"/>
        <rFont val="Verdana"/>
        <family val="2"/>
      </rPr>
      <t>U</t>
    </r>
    <r>
      <rPr>
        <i/>
        <sz val="6"/>
        <color rgb="FF231F20"/>
        <rFont val="Verdana"/>
        <family val="2"/>
      </rPr>
      <t>FG</t>
    </r>
    <r>
      <rPr>
        <sz val="6"/>
        <color rgb="FF231F20"/>
        <rFont val="Trebuchet MS"/>
        <family val="2"/>
      </rPr>
      <t>0</t>
    </r>
  </si>
  <si>
    <r>
      <rPr>
        <i/>
        <vertAlign val="superscript"/>
        <sz val="9"/>
        <color rgb="FF231F20"/>
        <rFont val="Verdana"/>
        <family val="2"/>
      </rPr>
      <t>b</t>
    </r>
    <r>
      <rPr>
        <i/>
        <sz val="6"/>
        <color rgb="FF231F20"/>
        <rFont val="Verdana"/>
        <family val="2"/>
      </rPr>
      <t>GF</t>
    </r>
  </si>
  <si>
    <t>(27) plancher avec chauffage intégré contre locaux non chauffés</t>
  </si>
  <si>
    <r>
      <rPr>
        <i/>
        <vertAlign val="superscript"/>
        <sz val="9"/>
        <color rgb="FF231F20"/>
        <rFont val="Verdana"/>
        <family val="2"/>
      </rPr>
      <t>b</t>
    </r>
    <r>
      <rPr>
        <i/>
        <sz val="6"/>
        <color rgb="FF231F20"/>
        <rFont val="Verdana"/>
        <family val="2"/>
      </rPr>
      <t>uF</t>
    </r>
  </si>
  <si>
    <t>(28) plancher avec chauffage intégré contre locaux chauffés dans le périmètre de bilan</t>
  </si>
  <si>
    <r>
      <rPr>
        <i/>
        <vertAlign val="superscript"/>
        <sz val="9"/>
        <color rgb="FF231F20"/>
        <rFont val="Verdana"/>
        <family val="2"/>
      </rPr>
      <t>U</t>
    </r>
    <r>
      <rPr>
        <i/>
        <sz val="6"/>
        <color rgb="FF231F20"/>
        <rFont val="Verdana"/>
        <family val="2"/>
      </rPr>
      <t>Fn</t>
    </r>
  </si>
  <si>
    <t>(29) plafond avec chauffage intégré contre locaux chauffés dans le périmètre de bilan</t>
  </si>
  <si>
    <r>
      <rPr>
        <i/>
        <vertAlign val="superscript"/>
        <sz val="9"/>
        <color rgb="FF231F20"/>
        <rFont val="Verdana"/>
        <family val="2"/>
      </rPr>
      <t>U</t>
    </r>
    <r>
      <rPr>
        <i/>
        <sz val="6"/>
        <color rgb="FF231F20"/>
        <rFont val="Verdana"/>
        <family val="2"/>
      </rPr>
      <t>Rn</t>
    </r>
  </si>
  <si>
    <r>
      <rPr>
        <sz val="9"/>
        <color rgb="FF231F20"/>
        <rFont val="Arial Narrow"/>
        <family val="2"/>
      </rPr>
      <t>D</t>
    </r>
    <r>
      <rPr>
        <i/>
        <sz val="9"/>
        <color rgb="FF231F20"/>
        <rFont val="Arial Narrow"/>
        <family val="2"/>
      </rPr>
      <t>q</t>
    </r>
  </si>
  <si>
    <r>
      <rPr>
        <sz val="9"/>
        <color rgb="FF231F20"/>
        <rFont val="Trebuchet MS"/>
        <family val="2"/>
      </rPr>
      <t>K</t>
    </r>
  </si>
  <si>
    <t>(30) fenêtre horizontale</t>
  </si>
  <si>
    <r>
      <rPr>
        <i/>
        <vertAlign val="superscript"/>
        <sz val="9"/>
        <color rgb="FF231F20"/>
        <rFont val="Verdana"/>
        <family val="2"/>
      </rPr>
      <t>U</t>
    </r>
    <r>
      <rPr>
        <i/>
        <sz val="6"/>
        <color rgb="FF231F20"/>
        <rFont val="Verdana"/>
        <family val="2"/>
      </rPr>
      <t>wH</t>
    </r>
  </si>
  <si>
    <t>(31) fenêtre sud</t>
  </si>
  <si>
    <r>
      <rPr>
        <i/>
        <vertAlign val="superscript"/>
        <sz val="9"/>
        <color rgb="FF231F20"/>
        <rFont val="Verdana"/>
        <family val="2"/>
      </rPr>
      <t>U</t>
    </r>
    <r>
      <rPr>
        <i/>
        <sz val="6"/>
        <color rgb="FF231F20"/>
        <rFont val="Verdana"/>
        <family val="2"/>
      </rPr>
      <t>wS</t>
    </r>
  </si>
  <si>
    <t>(32) fenêtre est</t>
  </si>
  <si>
    <r>
      <rPr>
        <i/>
        <vertAlign val="superscript"/>
        <sz val="9"/>
        <color rgb="FF231F20"/>
        <rFont val="Verdana"/>
        <family val="2"/>
      </rPr>
      <t>U</t>
    </r>
    <r>
      <rPr>
        <i/>
        <sz val="6"/>
        <color rgb="FF231F20"/>
        <rFont val="Verdana"/>
        <family val="2"/>
      </rPr>
      <t>wE</t>
    </r>
  </si>
  <si>
    <t>(33) fenêtre ouest</t>
  </si>
  <si>
    <r>
      <rPr>
        <i/>
        <vertAlign val="superscript"/>
        <sz val="9"/>
        <color rgb="FF231F20"/>
        <rFont val="Verdana"/>
        <family val="2"/>
      </rPr>
      <t>U</t>
    </r>
    <r>
      <rPr>
        <i/>
        <sz val="6"/>
        <color rgb="FF231F20"/>
        <rFont val="Verdana"/>
        <family val="2"/>
      </rPr>
      <t>wW</t>
    </r>
  </si>
  <si>
    <t>(34) fenêtre nord</t>
  </si>
  <si>
    <r>
      <rPr>
        <i/>
        <vertAlign val="superscript"/>
        <sz val="9"/>
        <color rgb="FF231F20"/>
        <rFont val="Verdana"/>
        <family val="2"/>
      </rPr>
      <t>U</t>
    </r>
    <r>
      <rPr>
        <i/>
        <sz val="6"/>
        <color rgb="FF231F20"/>
        <rFont val="Verdana"/>
        <family val="2"/>
      </rPr>
      <t>wN</t>
    </r>
  </si>
  <si>
    <r>
      <rPr>
        <sz val="9"/>
        <color rgb="FF231F20"/>
        <rFont val="Trebuchet MS"/>
        <family val="2"/>
      </rPr>
      <t>(71)    taux de transmission d’énergie global fenêtre (perpendiculaire)</t>
    </r>
  </si>
  <si>
    <r>
      <rPr>
        <i/>
        <sz val="9"/>
        <color rgb="FF231F20"/>
        <rFont val="Verdana"/>
        <family val="2"/>
      </rPr>
      <t>g</t>
    </r>
    <r>
      <rPr>
        <sz val="9"/>
        <color rgb="FF231F20"/>
        <rFont val="Lucida Sans Unicode"/>
        <family val="2"/>
      </rPr>
      <t>⊥</t>
    </r>
  </si>
  <si>
    <r>
      <rPr>
        <sz val="9"/>
        <color rgb="FF231F20"/>
        <rFont val="Trebuchet MS"/>
        <family val="2"/>
      </rPr>
      <t>(72)    quote-part vitrée de la surface des fenêtres</t>
    </r>
  </si>
  <si>
    <r>
      <rPr>
        <i/>
        <sz val="9"/>
        <color rgb="FF231F20"/>
        <rFont val="Verdana"/>
        <family val="2"/>
      </rPr>
      <t>f</t>
    </r>
    <r>
      <rPr>
        <i/>
        <vertAlign val="subscript"/>
        <sz val="6"/>
        <color rgb="FF231F20"/>
        <rFont val="Verdana"/>
        <family val="2"/>
      </rPr>
      <t>f</t>
    </r>
  </si>
  <si>
    <r>
      <rPr>
        <sz val="9"/>
        <color rgb="FF231F20"/>
        <rFont val="Trebuchet MS"/>
        <family val="2"/>
      </rPr>
      <t>(73)    facteur de réduction dû à l’effet des ombres, zénithal</t>
    </r>
  </si>
  <si>
    <r>
      <rPr>
        <i/>
        <vertAlign val="superscript"/>
        <sz val="9"/>
        <color rgb="FF231F20"/>
        <rFont val="Verdana"/>
        <family val="2"/>
      </rPr>
      <t>f</t>
    </r>
    <r>
      <rPr>
        <i/>
        <sz val="6"/>
        <color rgb="FF231F20"/>
        <rFont val="Verdana"/>
        <family val="2"/>
      </rPr>
      <t>SH</t>
    </r>
  </si>
  <si>
    <t>(74)    facteur de réduction dû à l’effet des ombres, sud</t>
  </si>
  <si>
    <r>
      <rPr>
        <i/>
        <vertAlign val="superscript"/>
        <sz val="9"/>
        <color rgb="FF231F20"/>
        <rFont val="Verdana"/>
        <family val="2"/>
      </rPr>
      <t>f</t>
    </r>
    <r>
      <rPr>
        <i/>
        <sz val="6"/>
        <color rgb="FF231F20"/>
        <rFont val="Verdana"/>
        <family val="2"/>
      </rPr>
      <t>SS</t>
    </r>
  </si>
  <si>
    <r>
      <rPr>
        <sz val="9"/>
        <color rgb="FF231F20"/>
        <rFont val="Trebuchet MS"/>
        <family val="2"/>
      </rPr>
      <t>(75)    facteur de réduction dû à l’effet des ombres, est</t>
    </r>
  </si>
  <si>
    <r>
      <rPr>
        <i/>
        <vertAlign val="superscript"/>
        <sz val="9"/>
        <color rgb="FF231F20"/>
        <rFont val="Verdana"/>
        <family val="2"/>
      </rPr>
      <t>f</t>
    </r>
    <r>
      <rPr>
        <i/>
        <sz val="6"/>
        <color rgb="FF231F20"/>
        <rFont val="Verdana"/>
        <family val="2"/>
      </rPr>
      <t>SE</t>
    </r>
  </si>
  <si>
    <r>
      <rPr>
        <sz val="9"/>
        <color rgb="FF231F20"/>
        <rFont val="Trebuchet MS"/>
        <family val="2"/>
      </rPr>
      <t>(76)    facteur de réduction dû à l’effet des ombres, ouest</t>
    </r>
  </si>
  <si>
    <r>
      <rPr>
        <i/>
        <vertAlign val="superscript"/>
        <sz val="9"/>
        <color rgb="FF231F20"/>
        <rFont val="Verdana"/>
        <family val="2"/>
      </rPr>
      <t>f</t>
    </r>
    <r>
      <rPr>
        <i/>
        <sz val="6"/>
        <color rgb="FF231F20"/>
        <rFont val="Verdana"/>
        <family val="2"/>
      </rPr>
      <t>SW</t>
    </r>
  </si>
  <si>
    <r>
      <rPr>
        <sz val="9"/>
        <color rgb="FF231F20"/>
        <rFont val="Trebuchet MS"/>
        <family val="2"/>
      </rPr>
      <t>(77)    facteur de réduction dû à l’effet des ombres, nord</t>
    </r>
  </si>
  <si>
    <r>
      <rPr>
        <i/>
        <vertAlign val="superscript"/>
        <sz val="9"/>
        <color rgb="FF231F20"/>
        <rFont val="Verdana"/>
        <family val="2"/>
      </rPr>
      <t>f</t>
    </r>
    <r>
      <rPr>
        <i/>
        <sz val="6"/>
        <color rgb="FF231F20"/>
        <rFont val="Verdana"/>
        <family val="2"/>
      </rPr>
      <t>SN</t>
    </r>
  </si>
  <si>
    <t>Pont thermique</t>
  </si>
  <si>
    <r>
      <rPr>
        <sz val="9"/>
        <color rgb="FF231F20"/>
        <rFont val="Trebuchet MS"/>
        <family val="2"/>
      </rPr>
      <t>(35)    pont thermique linéaire plafond/mur</t>
    </r>
  </si>
  <si>
    <r>
      <rPr>
        <i/>
        <vertAlign val="superscript"/>
        <sz val="9"/>
        <color rgb="FF231F20"/>
        <rFont val="Verdana"/>
        <family val="2"/>
      </rPr>
      <t>I</t>
    </r>
    <r>
      <rPr>
        <i/>
        <sz val="6"/>
        <color rgb="FF231F20"/>
        <rFont val="Verdana"/>
        <family val="2"/>
      </rPr>
      <t>RW</t>
    </r>
  </si>
  <si>
    <r>
      <rPr>
        <i/>
        <vertAlign val="superscript"/>
        <sz val="9"/>
        <color rgb="FF231F20"/>
        <rFont val="Arial Narrow"/>
        <family val="2"/>
      </rPr>
      <t>y</t>
    </r>
    <r>
      <rPr>
        <i/>
        <sz val="6"/>
        <color rgb="FF231F20"/>
        <rFont val="Verdana"/>
        <family val="2"/>
      </rPr>
      <t>RW</t>
    </r>
  </si>
  <si>
    <r>
      <rPr>
        <sz val="9"/>
        <color rgb="FF231F20"/>
        <rFont val="Trebuchet MS"/>
        <family val="2"/>
      </rPr>
      <t>W/(m·K)</t>
    </r>
  </si>
  <si>
    <r>
      <rPr>
        <sz val="9"/>
        <color rgb="FF231F20"/>
        <rFont val="Trebuchet MS"/>
        <family val="2"/>
      </rPr>
      <t>(36)    pont thermique linéaire socle du bâtiment</t>
    </r>
  </si>
  <si>
    <r>
      <rPr>
        <i/>
        <vertAlign val="superscript"/>
        <sz val="9"/>
        <color rgb="FF231F20"/>
        <rFont val="Verdana"/>
        <family val="2"/>
      </rPr>
      <t>I</t>
    </r>
    <r>
      <rPr>
        <i/>
        <sz val="6"/>
        <color rgb="FF231F20"/>
        <rFont val="Verdana"/>
        <family val="2"/>
      </rPr>
      <t>WF</t>
    </r>
  </si>
  <si>
    <r>
      <rPr>
        <i/>
        <vertAlign val="superscript"/>
        <sz val="9"/>
        <color rgb="FF231F20"/>
        <rFont val="Arial Narrow"/>
        <family val="2"/>
      </rPr>
      <t>y</t>
    </r>
    <r>
      <rPr>
        <i/>
        <sz val="6"/>
        <color rgb="FF231F20"/>
        <rFont val="Verdana"/>
        <family val="2"/>
      </rPr>
      <t>WF</t>
    </r>
  </si>
  <si>
    <r>
      <rPr>
        <sz val="9"/>
        <color rgb="FF231F20"/>
        <rFont val="Trebuchet MS"/>
        <family val="2"/>
      </rPr>
      <t>(37)    pont thermique linéaire balcon</t>
    </r>
  </si>
  <si>
    <r>
      <rPr>
        <i/>
        <sz val="9"/>
        <color rgb="FF231F20"/>
        <rFont val="Verdana"/>
        <family val="2"/>
      </rPr>
      <t>I</t>
    </r>
    <r>
      <rPr>
        <i/>
        <vertAlign val="subscript"/>
        <sz val="6"/>
        <color rgb="FF231F20"/>
        <rFont val="Verdana"/>
        <family val="2"/>
      </rPr>
      <t>B</t>
    </r>
  </si>
  <si>
    <r>
      <rPr>
        <i/>
        <sz val="9"/>
        <color rgb="FF231F20"/>
        <rFont val="Arial Narrow"/>
        <family val="2"/>
      </rPr>
      <t>y</t>
    </r>
    <r>
      <rPr>
        <i/>
        <vertAlign val="subscript"/>
        <sz val="6"/>
        <color rgb="FF231F20"/>
        <rFont val="Verdana"/>
        <family val="2"/>
      </rPr>
      <t>B</t>
    </r>
  </si>
  <si>
    <r>
      <rPr>
        <sz val="9"/>
        <color rgb="FF231F20"/>
        <rFont val="Trebuchet MS"/>
        <family val="2"/>
      </rPr>
      <t>(38)    pont thermique linéaire appui fenêtre</t>
    </r>
  </si>
  <si>
    <r>
      <rPr>
        <i/>
        <sz val="9"/>
        <color rgb="FF231F20"/>
        <rFont val="Verdana"/>
        <family val="2"/>
      </rPr>
      <t>l</t>
    </r>
    <r>
      <rPr>
        <i/>
        <vertAlign val="subscript"/>
        <sz val="6"/>
        <color rgb="FF231F20"/>
        <rFont val="Verdana"/>
        <family val="2"/>
      </rPr>
      <t>w</t>
    </r>
  </si>
  <si>
    <r>
      <rPr>
        <i/>
        <sz val="9"/>
        <color rgb="FF231F20"/>
        <rFont val="Arial Narrow"/>
        <family val="2"/>
      </rPr>
      <t>y</t>
    </r>
    <r>
      <rPr>
        <i/>
        <vertAlign val="subscript"/>
        <sz val="6"/>
        <color rgb="FF231F20"/>
        <rFont val="Verdana"/>
        <family val="2"/>
      </rPr>
      <t>w</t>
    </r>
  </si>
  <si>
    <r>
      <rPr>
        <sz val="9"/>
        <color rgb="FF231F20"/>
        <rFont val="Trebuchet MS"/>
        <family val="2"/>
      </rPr>
      <t>(39)    pont thermique linéaire plancher/mur intérieur de cave</t>
    </r>
  </si>
  <si>
    <r>
      <rPr>
        <i/>
        <sz val="9"/>
        <color rgb="FF231F20"/>
        <rFont val="Verdana"/>
        <family val="2"/>
      </rPr>
      <t>I</t>
    </r>
    <r>
      <rPr>
        <i/>
        <vertAlign val="subscript"/>
        <sz val="6"/>
        <color rgb="FF231F20"/>
        <rFont val="Verdana"/>
        <family val="2"/>
      </rPr>
      <t>F</t>
    </r>
  </si>
  <si>
    <r>
      <rPr>
        <i/>
        <sz val="9"/>
        <color rgb="FF231F20"/>
        <rFont val="Arial Narrow"/>
        <family val="2"/>
      </rPr>
      <t>y</t>
    </r>
    <r>
      <rPr>
        <i/>
        <vertAlign val="subscript"/>
        <sz val="6"/>
        <color rgb="FF231F20"/>
        <rFont val="Verdana"/>
        <family val="2"/>
      </rPr>
      <t>F</t>
    </r>
  </si>
  <si>
    <r>
      <rPr>
        <u/>
        <sz val="9"/>
        <color rgb="FF231F20"/>
        <rFont val="Trebuchet MS"/>
        <family val="2"/>
      </rPr>
      <t>(40)    pont thermique ponctuel piliers, supports, consoles</t>
    </r>
  </si>
  <si>
    <r>
      <rPr>
        <i/>
        <u/>
        <sz val="9"/>
        <color rgb="FF231F20"/>
        <rFont val="Verdana"/>
        <family val="2"/>
      </rPr>
      <t>z</t>
    </r>
  </si>
  <si>
    <r>
      <rPr>
        <i/>
        <sz val="9"/>
        <color rgb="FF231F20"/>
        <rFont val="Arial Narrow"/>
        <family val="2"/>
      </rPr>
      <t>c</t>
    </r>
  </si>
  <si>
    <r>
      <rPr>
        <sz val="9"/>
        <color rgb="FF231F20"/>
        <rFont val="Trebuchet MS"/>
        <family val="2"/>
      </rPr>
      <t>W/K</t>
    </r>
  </si>
  <si>
    <t>Utilisation</t>
  </si>
  <si>
    <r>
      <rPr>
        <sz val="9"/>
        <color rgb="FF231F20"/>
        <rFont val="Trebuchet MS"/>
        <family val="2"/>
      </rPr>
      <t>(1)     température intérieure</t>
    </r>
  </si>
  <si>
    <r>
      <rPr>
        <i/>
        <sz val="9"/>
        <color rgb="FF231F20"/>
        <rFont val="Arial Narrow"/>
        <family val="2"/>
      </rPr>
      <t>q</t>
    </r>
    <r>
      <rPr>
        <i/>
        <vertAlign val="subscript"/>
        <sz val="6"/>
        <color rgb="FF231F20"/>
        <rFont val="Verdana"/>
        <family val="2"/>
      </rPr>
      <t>i</t>
    </r>
  </si>
  <si>
    <r>
      <rPr>
        <sz val="9"/>
        <color rgb="FF231F20"/>
        <rFont val="Trebuchet MS"/>
        <family val="2"/>
      </rPr>
      <t>(2)     majoration de la température intérieure</t>
    </r>
  </si>
  <si>
    <r>
      <rPr>
        <sz val="9"/>
        <color rgb="FF231F20"/>
        <rFont val="Arial Narrow"/>
        <family val="2"/>
      </rPr>
      <t>D</t>
    </r>
    <r>
      <rPr>
        <i/>
        <sz val="9"/>
        <color rgb="FF231F20"/>
        <rFont val="Arial Narrow"/>
        <family val="2"/>
      </rPr>
      <t>q</t>
    </r>
    <r>
      <rPr>
        <i/>
        <vertAlign val="subscript"/>
        <sz val="6"/>
        <color rgb="FF231F20"/>
        <rFont val="Verdana"/>
        <family val="2"/>
      </rPr>
      <t>i</t>
    </r>
  </si>
  <si>
    <r>
      <rPr>
        <sz val="9"/>
        <color rgb="FF231F20"/>
        <rFont val="Trebuchet MS"/>
        <family val="2"/>
      </rPr>
      <t>(3)     surface par personne</t>
    </r>
  </si>
  <si>
    <r>
      <rPr>
        <i/>
        <sz val="9"/>
        <color rgb="FF231F20"/>
        <rFont val="Verdana"/>
        <family val="2"/>
      </rPr>
      <t>A</t>
    </r>
    <r>
      <rPr>
        <i/>
        <vertAlign val="subscript"/>
        <sz val="6"/>
        <color rgb="FF231F20"/>
        <rFont val="Verdana"/>
        <family val="2"/>
      </rPr>
      <t>P</t>
    </r>
  </si>
  <si>
    <r>
      <rPr>
        <sz val="9"/>
        <color rgb="FF231F20"/>
        <rFont val="Trebuchet MS"/>
        <family val="2"/>
      </rPr>
      <t>m</t>
    </r>
    <r>
      <rPr>
        <vertAlign val="superscript"/>
        <sz val="9"/>
        <color rgb="FF231F20"/>
        <rFont val="Trebuchet MS"/>
        <family val="2"/>
      </rPr>
      <t>2</t>
    </r>
    <r>
      <rPr>
        <sz val="9"/>
        <color rgb="FF231F20"/>
        <rFont val="Trebuchet MS"/>
        <family val="2"/>
      </rPr>
      <t>/P</t>
    </r>
  </si>
  <si>
    <r>
      <rPr>
        <sz val="9"/>
        <color rgb="FF231F20"/>
        <rFont val="Trebuchet MS"/>
        <family val="2"/>
      </rPr>
      <t>(4)     chaleur dégagée par personne</t>
    </r>
  </si>
  <si>
    <r>
      <rPr>
        <i/>
        <sz val="9"/>
        <color rgb="FF231F20"/>
        <rFont val="Verdana"/>
        <family val="2"/>
      </rPr>
      <t>Q</t>
    </r>
    <r>
      <rPr>
        <i/>
        <vertAlign val="subscript"/>
        <sz val="6"/>
        <color rgb="FF231F20"/>
        <rFont val="Verdana"/>
        <family val="2"/>
      </rPr>
      <t>P</t>
    </r>
  </si>
  <si>
    <r>
      <rPr>
        <sz val="9"/>
        <color rgb="FF231F20"/>
        <rFont val="Trebuchet MS"/>
        <family val="2"/>
      </rPr>
      <t>W/P</t>
    </r>
  </si>
  <si>
    <r>
      <rPr>
        <sz val="9"/>
        <color rgb="FF231F20"/>
        <rFont val="Trebuchet MS"/>
        <family val="2"/>
      </rPr>
      <t>(5)     durée de présence des personnes</t>
    </r>
  </si>
  <si>
    <r>
      <rPr>
        <i/>
        <sz val="9"/>
        <color rgb="FF231F20"/>
        <rFont val="Verdana"/>
        <family val="2"/>
      </rPr>
      <t>t</t>
    </r>
    <r>
      <rPr>
        <i/>
        <vertAlign val="subscript"/>
        <sz val="6"/>
        <color rgb="FF231F20"/>
        <rFont val="Verdana"/>
        <family val="2"/>
      </rPr>
      <t>P</t>
    </r>
  </si>
  <si>
    <r>
      <rPr>
        <sz val="9"/>
        <color rgb="FF231F20"/>
        <rFont val="Trebuchet MS"/>
        <family val="2"/>
      </rPr>
      <t>h/d</t>
    </r>
  </si>
  <si>
    <r>
      <rPr>
        <sz val="9"/>
        <color rgb="FF231F20"/>
        <rFont val="Trebuchet MS"/>
        <family val="2"/>
      </rPr>
      <t>(6)     besoins d’électricité, par année</t>
    </r>
  </si>
  <si>
    <r>
      <rPr>
        <i/>
        <vertAlign val="superscript"/>
        <sz val="9"/>
        <color rgb="FF231F20"/>
        <rFont val="Verdana"/>
        <family val="2"/>
      </rPr>
      <t>E</t>
    </r>
    <r>
      <rPr>
        <i/>
        <sz val="6"/>
        <color rgb="FF231F20"/>
        <rFont val="Verdana"/>
        <family val="2"/>
      </rPr>
      <t>F,el</t>
    </r>
  </si>
  <si>
    <r>
      <rPr>
        <sz val="9"/>
        <color rgb="FF231F20"/>
        <rFont val="Trebuchet MS"/>
        <family val="2"/>
      </rPr>
      <t>kWh/m</t>
    </r>
    <r>
      <rPr>
        <vertAlign val="superscript"/>
        <sz val="9"/>
        <color rgb="FF231F20"/>
        <rFont val="Trebuchet MS"/>
        <family val="2"/>
      </rPr>
      <t>2</t>
    </r>
  </si>
  <si>
    <r>
      <rPr>
        <sz val="9"/>
        <color rgb="FF231F20"/>
        <rFont val="Trebuchet MS"/>
        <family val="2"/>
      </rPr>
      <t>(7)     facteur de réduction des besoins d’électricité</t>
    </r>
  </si>
  <si>
    <r>
      <rPr>
        <i/>
        <vertAlign val="superscript"/>
        <sz val="9"/>
        <color rgb="FF231F20"/>
        <rFont val="Verdana"/>
        <family val="2"/>
      </rPr>
      <t>f</t>
    </r>
    <r>
      <rPr>
        <i/>
        <sz val="6"/>
        <color rgb="FF231F20"/>
        <rFont val="Verdana"/>
        <family val="2"/>
      </rPr>
      <t>eI</t>
    </r>
  </si>
  <si>
    <r>
      <rPr>
        <sz val="9"/>
        <color rgb="FF231F20"/>
        <rFont val="Trebuchet MS"/>
        <family val="2"/>
      </rPr>
      <t>(8)     débit d’air neuf selon le tableau 14 (lors de justification)</t>
    </r>
  </si>
  <si>
    <r>
      <rPr>
        <i/>
        <sz val="9"/>
        <color rgb="FF231F20"/>
        <rFont val="Verdana"/>
        <family val="2"/>
      </rPr>
      <t>q</t>
    </r>
  </si>
  <si>
    <r>
      <rPr>
        <sz val="9"/>
        <color rgb="FF231F20"/>
        <rFont val="Trebuchet MS"/>
        <family val="2"/>
      </rPr>
      <t>m</t>
    </r>
    <r>
      <rPr>
        <vertAlign val="superscript"/>
        <sz val="9"/>
        <color rgb="FF231F20"/>
        <rFont val="Trebuchet MS"/>
        <family val="2"/>
      </rPr>
      <t>3</t>
    </r>
    <r>
      <rPr>
        <sz val="9"/>
        <color rgb="FF231F20"/>
        <rFont val="Trebuchet MS"/>
        <family val="2"/>
      </rPr>
      <t>/(h·m</t>
    </r>
    <r>
      <rPr>
        <vertAlign val="superscript"/>
        <sz val="9"/>
        <color rgb="FF231F20"/>
        <rFont val="Trebuchet MS"/>
        <family val="2"/>
      </rPr>
      <t>2</t>
    </r>
    <r>
      <rPr>
        <sz val="9"/>
        <color rgb="FF231F20"/>
        <rFont val="Trebuchet MS"/>
        <family val="2"/>
      </rPr>
      <t>)</t>
    </r>
  </si>
  <si>
    <r>
      <rPr>
        <sz val="9"/>
        <color rgb="FF231F20"/>
        <rFont val="Trebuchet MS"/>
        <family val="2"/>
      </rPr>
      <t>débit d’air neuf thermiquement efficace selon 3.5.5 (lors d’optimisation)</t>
    </r>
  </si>
  <si>
    <r>
      <rPr>
        <i/>
        <vertAlign val="superscript"/>
        <sz val="9"/>
        <color rgb="FF231F20"/>
        <rFont val="Verdana"/>
        <family val="2"/>
      </rPr>
      <t>q</t>
    </r>
    <r>
      <rPr>
        <i/>
        <sz val="6"/>
        <color rgb="FF231F20"/>
        <rFont val="Verdana"/>
        <family val="2"/>
      </rPr>
      <t>th</t>
    </r>
  </si>
  <si>
    <t xml:space="preserve">                                                                                 </t>
  </si>
  <si>
    <t>(83)    température intérieure   °C majorée en fonction
de la régulation</t>
  </si>
  <si>
    <t xml:space="preserve">qic       </t>
  </si>
  <si>
    <t>Données d’entrée spéciales</t>
  </si>
  <si>
    <r>
      <rPr>
        <sz val="9"/>
        <color rgb="FF231F20"/>
        <rFont val="Trebuchet MS"/>
        <family val="2"/>
      </rPr>
      <t>(78)    capacité thermique par unité de surface de référence énergétique</t>
    </r>
  </si>
  <si>
    <r>
      <rPr>
        <i/>
        <sz val="9"/>
        <color rgb="FF231F20"/>
        <rFont val="Verdana"/>
        <family val="2"/>
      </rPr>
      <t>C</t>
    </r>
    <r>
      <rPr>
        <i/>
        <vertAlign val="subscript"/>
        <sz val="6"/>
        <color rgb="FF231F20"/>
        <rFont val="Verdana"/>
        <family val="2"/>
      </rPr>
      <t xml:space="preserve">R </t>
    </r>
    <r>
      <rPr>
        <i/>
        <sz val="9"/>
        <color rgb="FF231F20"/>
        <rFont val="Verdana"/>
        <family val="2"/>
      </rPr>
      <t>/A</t>
    </r>
    <r>
      <rPr>
        <i/>
        <vertAlign val="subscript"/>
        <sz val="6"/>
        <color rgb="FF231F20"/>
        <rFont val="Verdana"/>
        <family val="2"/>
      </rPr>
      <t>E</t>
    </r>
  </si>
  <si>
    <r>
      <rPr>
        <sz val="9"/>
        <color rgb="FF231F20"/>
        <rFont val="Trebuchet MS"/>
        <family val="2"/>
      </rPr>
      <t>kWh/(m</t>
    </r>
    <r>
      <rPr>
        <vertAlign val="superscript"/>
        <sz val="9"/>
        <color rgb="FF231F20"/>
        <rFont val="Trebuchet MS"/>
        <family val="2"/>
      </rPr>
      <t>2</t>
    </r>
    <r>
      <rPr>
        <sz val="9"/>
        <color rgb="FF231F20"/>
        <rFont val="Trebuchet MS"/>
        <family val="2"/>
      </rPr>
      <t>·K)</t>
    </r>
  </si>
  <si>
    <t>(79)    paramètre numérique entrant dans le calcul du taux d’utilisation</t>
  </si>
  <si>
    <r>
      <rPr>
        <i/>
        <sz val="9"/>
        <color rgb="FF231F20"/>
        <rFont val="Verdana"/>
        <family val="2"/>
      </rPr>
      <t>a</t>
    </r>
    <r>
      <rPr>
        <vertAlign val="subscript"/>
        <sz val="6"/>
        <color rgb="FF231F20"/>
        <rFont val="Trebuchet MS"/>
        <family val="2"/>
      </rPr>
      <t>0</t>
    </r>
  </si>
  <si>
    <r>
      <rPr>
        <sz val="9"/>
        <color rgb="FF231F20"/>
        <rFont val="Trebuchet MS"/>
        <family val="2"/>
      </rPr>
      <t>(80)    constante de temps de référence entrant dans le calcul du taux d’utilisation</t>
    </r>
  </si>
  <si>
    <r>
      <rPr>
        <i/>
        <sz val="9"/>
        <color rgb="FF231F20"/>
        <rFont val="Arial Narrow"/>
        <family val="2"/>
      </rPr>
      <t>t</t>
    </r>
    <r>
      <rPr>
        <vertAlign val="subscript"/>
        <sz val="6"/>
        <color rgb="FF231F20"/>
        <rFont val="Trebuchet MS"/>
        <family val="2"/>
      </rPr>
      <t>0</t>
    </r>
  </si>
  <si>
    <r>
      <rPr>
        <sz val="9"/>
        <color rgb="FF231F20"/>
        <rFont val="Trebuchet MS"/>
        <family val="2"/>
      </rPr>
      <t>h</t>
    </r>
  </si>
  <si>
    <r>
      <rPr>
        <sz val="9"/>
        <color rgb="FF231F20"/>
        <rFont val="Trebuchet MS"/>
        <family val="2"/>
      </rPr>
      <t>(81)    rendement de la récupération de chaleur</t>
    </r>
  </si>
  <si>
    <r>
      <rPr>
        <i/>
        <sz val="9"/>
        <color rgb="FF231F20"/>
        <rFont val="Arial Narrow"/>
        <family val="2"/>
      </rPr>
      <t>h</t>
    </r>
    <r>
      <rPr>
        <i/>
        <vertAlign val="subscript"/>
        <sz val="6"/>
        <color rgb="FF231F20"/>
        <rFont val="Verdana"/>
        <family val="2"/>
      </rPr>
      <t>V</t>
    </r>
  </si>
  <si>
    <r>
      <rPr>
        <sz val="9"/>
        <color rgb="FF231F20"/>
        <rFont val="Trebuchet MS"/>
        <family val="2"/>
      </rPr>
      <t>(82)    facteur de correction pour l’efficacité de la ventilation</t>
    </r>
  </si>
  <si>
    <r>
      <rPr>
        <i/>
        <sz val="9"/>
        <color rgb="FF231F20"/>
        <rFont val="Verdana"/>
        <family val="2"/>
      </rPr>
      <t>f</t>
    </r>
    <r>
      <rPr>
        <i/>
        <vertAlign val="subscript"/>
        <sz val="6"/>
        <color rgb="FF231F20"/>
        <rFont val="Verdana"/>
        <family val="2"/>
      </rPr>
      <t>V</t>
    </r>
  </si>
  <si>
    <t>Données climatiques</t>
  </si>
  <si>
    <r>
      <rPr>
        <sz val="9"/>
        <color rgb="FF231F20"/>
        <rFont val="Trebuchet MS"/>
        <family val="2"/>
      </rPr>
      <t>(9)     durée de la période de calcul</t>
    </r>
  </si>
  <si>
    <r>
      <rPr>
        <i/>
        <sz val="9"/>
        <color rgb="FF231F20"/>
        <rFont val="Verdana"/>
        <family val="2"/>
      </rPr>
      <t>t</t>
    </r>
    <r>
      <rPr>
        <i/>
        <vertAlign val="subscript"/>
        <sz val="6"/>
        <color rgb="FF231F20"/>
        <rFont val="Verdana"/>
        <family val="2"/>
      </rPr>
      <t>c</t>
    </r>
  </si>
  <si>
    <r>
      <rPr>
        <sz val="9"/>
        <color rgb="FF231F20"/>
        <rFont val="Trebuchet MS"/>
        <family val="2"/>
      </rPr>
      <t>d</t>
    </r>
  </si>
  <si>
    <t>(11)    température de l’air extérieur</t>
  </si>
  <si>
    <r>
      <rPr>
        <i/>
        <sz val="9"/>
        <color rgb="FF231F20"/>
        <rFont val="Arial Narrow"/>
        <family val="2"/>
      </rPr>
      <t>q</t>
    </r>
    <r>
      <rPr>
        <i/>
        <vertAlign val="subscript"/>
        <sz val="6"/>
        <color rgb="FF231F20"/>
        <rFont val="Verdana"/>
        <family val="2"/>
      </rPr>
      <t>e</t>
    </r>
  </si>
  <si>
    <t>qe température de l’air extérieur selon SIA 2028, en °C</t>
  </si>
  <si>
    <r>
      <rPr>
        <sz val="9"/>
        <color rgb="FF231F20"/>
        <rFont val="Trebuchet MS"/>
        <family val="2"/>
      </rPr>
      <t>(12)    rayonnement solaire global horizontal</t>
    </r>
  </si>
  <si>
    <r>
      <rPr>
        <i/>
        <vertAlign val="superscript"/>
        <sz val="9"/>
        <color rgb="FF231F20"/>
        <rFont val="Verdana"/>
        <family val="2"/>
      </rPr>
      <t>G</t>
    </r>
    <r>
      <rPr>
        <i/>
        <sz val="6"/>
        <color rgb="FF231F20"/>
        <rFont val="Verdana"/>
        <family val="2"/>
      </rPr>
      <t>sH</t>
    </r>
  </si>
  <si>
    <r>
      <rPr>
        <sz val="9"/>
        <color rgb="FF231F20"/>
        <rFont val="Trebuchet MS"/>
        <family val="2"/>
      </rPr>
      <t>(13)    rayonnement solaire hémisphérique sud</t>
    </r>
  </si>
  <si>
    <r>
      <rPr>
        <i/>
        <vertAlign val="superscript"/>
        <sz val="9"/>
        <color rgb="FF231F20"/>
        <rFont val="Verdana"/>
        <family val="2"/>
      </rPr>
      <t>G</t>
    </r>
    <r>
      <rPr>
        <i/>
        <sz val="6"/>
        <color rgb="FF231F20"/>
        <rFont val="Verdana"/>
        <family val="2"/>
      </rPr>
      <t>sS</t>
    </r>
  </si>
  <si>
    <r>
      <rPr>
        <sz val="9"/>
        <color rgb="FF231F20"/>
        <rFont val="Trebuchet MS"/>
        <family val="2"/>
      </rPr>
      <t>(14)    rayonnement solaire hémisphérique est</t>
    </r>
  </si>
  <si>
    <r>
      <rPr>
        <i/>
        <vertAlign val="superscript"/>
        <sz val="9"/>
        <color rgb="FF231F20"/>
        <rFont val="Verdana"/>
        <family val="2"/>
      </rPr>
      <t>G</t>
    </r>
    <r>
      <rPr>
        <i/>
        <sz val="6"/>
        <color rgb="FF231F20"/>
        <rFont val="Verdana"/>
        <family val="2"/>
      </rPr>
      <t>sE</t>
    </r>
  </si>
  <si>
    <r>
      <rPr>
        <sz val="9"/>
        <color rgb="FF231F20"/>
        <rFont val="Trebuchet MS"/>
        <family val="2"/>
      </rPr>
      <t>(15)    rayonnement solaire hémisphérique ouest</t>
    </r>
  </si>
  <si>
    <r>
      <rPr>
        <i/>
        <vertAlign val="superscript"/>
        <sz val="9"/>
        <color rgb="FF231F20"/>
        <rFont val="Verdana"/>
        <family val="2"/>
      </rPr>
      <t>G</t>
    </r>
    <r>
      <rPr>
        <i/>
        <sz val="6"/>
        <color rgb="FF231F20"/>
        <rFont val="Verdana"/>
        <family val="2"/>
      </rPr>
      <t>sW</t>
    </r>
  </si>
  <si>
    <r>
      <rPr>
        <sz val="9"/>
        <color rgb="FF231F20"/>
        <rFont val="Trebuchet MS"/>
        <family val="2"/>
      </rPr>
      <t>(16)    rayonnement solaire hémisphérique nord</t>
    </r>
  </si>
  <si>
    <r>
      <rPr>
        <i/>
        <vertAlign val="superscript"/>
        <sz val="9"/>
        <color rgb="FF231F20"/>
        <rFont val="Verdana"/>
        <family val="2"/>
      </rPr>
      <t>G</t>
    </r>
    <r>
      <rPr>
        <i/>
        <sz val="6"/>
        <color rgb="FF231F20"/>
        <rFont val="Verdana"/>
        <family val="2"/>
      </rPr>
      <t>sN</t>
    </r>
  </si>
  <si>
    <t>Déperditions par transmission</t>
  </si>
  <si>
    <r>
      <rPr>
        <sz val="9"/>
        <color rgb="FF231F20"/>
        <rFont val="Trebuchet MS"/>
        <family val="2"/>
      </rPr>
      <t>(84)    toit exposé à l’air extérieur</t>
    </r>
  </si>
  <si>
    <r>
      <rPr>
        <i/>
        <vertAlign val="superscript"/>
        <sz val="9"/>
        <color rgb="FF231F20"/>
        <rFont val="Verdana"/>
        <family val="2"/>
      </rPr>
      <t>Q</t>
    </r>
    <r>
      <rPr>
        <i/>
        <sz val="6"/>
        <color rgb="FF231F20"/>
        <rFont val="Verdana"/>
        <family val="2"/>
      </rPr>
      <t>Re</t>
    </r>
  </si>
  <si>
    <r>
      <rPr>
        <sz val="9"/>
        <color rgb="FF231F20"/>
        <rFont val="Trebuchet MS"/>
        <family val="2"/>
      </rPr>
      <t>(85)    plafond contre des locaux non chauffés</t>
    </r>
  </si>
  <si>
    <r>
      <rPr>
        <i/>
        <vertAlign val="superscript"/>
        <sz val="9"/>
        <color rgb="FF231F20"/>
        <rFont val="Verdana"/>
        <family val="2"/>
      </rPr>
      <t>Q</t>
    </r>
    <r>
      <rPr>
        <i/>
        <sz val="6"/>
        <color rgb="FF231F20"/>
        <rFont val="Verdana"/>
        <family val="2"/>
      </rPr>
      <t>Ru</t>
    </r>
  </si>
  <si>
    <r>
      <rPr>
        <sz val="9"/>
        <color rgb="FF231F20"/>
        <rFont val="Trebuchet MS"/>
        <family val="2"/>
      </rPr>
      <t>(86)    mur exposé à l’air extérieur</t>
    </r>
  </si>
  <si>
    <r>
      <rPr>
        <i/>
        <vertAlign val="superscript"/>
        <sz val="9"/>
        <color rgb="FF231F20"/>
        <rFont val="Verdana"/>
        <family val="2"/>
      </rPr>
      <t>Q</t>
    </r>
    <r>
      <rPr>
        <i/>
        <sz val="6"/>
        <color rgb="FF231F20"/>
        <rFont val="Verdana"/>
        <family val="2"/>
      </rPr>
      <t>We</t>
    </r>
  </si>
  <si>
    <r>
      <rPr>
        <sz val="9"/>
        <color rgb="FF231F20"/>
        <rFont val="Trebuchet MS"/>
        <family val="2"/>
      </rPr>
      <t>(87)    mur contre locaux non chauffés</t>
    </r>
  </si>
  <si>
    <r>
      <rPr>
        <i/>
        <vertAlign val="superscript"/>
        <sz val="9"/>
        <color rgb="FF231F20"/>
        <rFont val="Verdana"/>
        <family val="2"/>
      </rPr>
      <t>Q</t>
    </r>
    <r>
      <rPr>
        <i/>
        <sz val="6"/>
        <color rgb="FF231F20"/>
        <rFont val="Verdana"/>
        <family val="2"/>
      </rPr>
      <t>Wu</t>
    </r>
  </si>
  <si>
    <r>
      <rPr>
        <sz val="9"/>
        <color rgb="FF231F20"/>
        <rFont val="Trebuchet MS"/>
        <family val="2"/>
      </rPr>
      <t>(88)    mur en contact avec le terrain</t>
    </r>
  </si>
  <si>
    <r>
      <rPr>
        <i/>
        <vertAlign val="superscript"/>
        <sz val="9"/>
        <color rgb="FF231F20"/>
        <rFont val="Verdana"/>
        <family val="2"/>
      </rPr>
      <t>Q</t>
    </r>
    <r>
      <rPr>
        <i/>
        <sz val="6"/>
        <color rgb="FF231F20"/>
        <rFont val="Verdana"/>
        <family val="2"/>
      </rPr>
      <t>WG</t>
    </r>
  </si>
  <si>
    <r>
      <rPr>
        <sz val="9"/>
        <color rgb="FF231F20"/>
        <rFont val="Trebuchet MS"/>
        <family val="2"/>
      </rPr>
      <t>(89)    mur contre locaux contigus</t>
    </r>
  </si>
  <si>
    <r>
      <rPr>
        <i/>
        <vertAlign val="superscript"/>
        <sz val="9"/>
        <color rgb="FF231F20"/>
        <rFont val="Verdana"/>
        <family val="2"/>
      </rPr>
      <t>Q</t>
    </r>
    <r>
      <rPr>
        <i/>
        <sz val="6"/>
        <color rgb="FF231F20"/>
        <rFont val="Verdana"/>
        <family val="2"/>
      </rPr>
      <t>Wn</t>
    </r>
  </si>
  <si>
    <r>
      <rPr>
        <sz val="9"/>
        <color rgb="FF231F20"/>
        <rFont val="Trebuchet MS"/>
        <family val="2"/>
      </rPr>
      <t>(90)    plancher exposé à l’air extérieur</t>
    </r>
  </si>
  <si>
    <r>
      <rPr>
        <i/>
        <vertAlign val="superscript"/>
        <sz val="9"/>
        <color rgb="FF231F20"/>
        <rFont val="Verdana"/>
        <family val="2"/>
      </rPr>
      <t>Q</t>
    </r>
    <r>
      <rPr>
        <i/>
        <sz val="6"/>
        <color rgb="FF231F20"/>
        <rFont val="Verdana"/>
        <family val="2"/>
      </rPr>
      <t>Fe</t>
    </r>
  </si>
  <si>
    <r>
      <rPr>
        <sz val="9"/>
        <color rgb="FF231F20"/>
        <rFont val="Trebuchet MS"/>
        <family val="2"/>
      </rPr>
      <t>(91)    plancher contre locaux non chauffés</t>
    </r>
  </si>
  <si>
    <r>
      <rPr>
        <i/>
        <vertAlign val="superscript"/>
        <sz val="9"/>
        <color rgb="FF231F20"/>
        <rFont val="Verdana"/>
        <family val="2"/>
      </rPr>
      <t>Q</t>
    </r>
    <r>
      <rPr>
        <i/>
        <sz val="6"/>
        <color rgb="FF231F20"/>
        <rFont val="Verdana"/>
        <family val="2"/>
      </rPr>
      <t>Fu</t>
    </r>
  </si>
  <si>
    <r>
      <rPr>
        <sz val="9"/>
        <color rgb="FF231F20"/>
        <rFont val="Trebuchet MS"/>
        <family val="2"/>
      </rPr>
      <t>(92)    plancher avec chauffage intégré en contact avec le terrain</t>
    </r>
  </si>
  <si>
    <r>
      <rPr>
        <i/>
        <vertAlign val="superscript"/>
        <sz val="9"/>
        <color rgb="FF231F20"/>
        <rFont val="Verdana"/>
        <family val="2"/>
      </rPr>
      <t>Q</t>
    </r>
    <r>
      <rPr>
        <i/>
        <sz val="6"/>
        <color rgb="FF231F20"/>
        <rFont val="Verdana"/>
        <family val="2"/>
      </rPr>
      <t>FG</t>
    </r>
  </si>
  <si>
    <r>
      <rPr>
        <sz val="9"/>
        <color rgb="FF231F20"/>
        <rFont val="Trebuchet MS"/>
        <family val="2"/>
      </rPr>
      <t>(93)    plancher avec chauffage intégré contre locaux non chauffés</t>
    </r>
  </si>
  <si>
    <r>
      <rPr>
        <sz val="9"/>
        <color rgb="FF231F20"/>
        <rFont val="Trebuchet MS"/>
        <family val="2"/>
      </rPr>
      <t>(94)    plancher avec chauffage intégré contre locaux chauffés</t>
    </r>
  </si>
  <si>
    <r>
      <rPr>
        <i/>
        <vertAlign val="superscript"/>
        <sz val="9"/>
        <color rgb="FF231F20"/>
        <rFont val="Verdana"/>
        <family val="2"/>
      </rPr>
      <t>Q</t>
    </r>
    <r>
      <rPr>
        <i/>
        <sz val="6"/>
        <color rgb="FF231F20"/>
        <rFont val="Verdana"/>
        <family val="2"/>
      </rPr>
      <t>Fn</t>
    </r>
  </si>
  <si>
    <r>
      <rPr>
        <sz val="9"/>
        <color rgb="FF231F20"/>
        <rFont val="Trebuchet MS"/>
        <family val="2"/>
      </rPr>
      <t>(95)    plafond avec chauffage intégré contre locaux chauffés</t>
    </r>
  </si>
  <si>
    <r>
      <rPr>
        <i/>
        <vertAlign val="superscript"/>
        <sz val="9"/>
        <color rgb="FF231F20"/>
        <rFont val="Verdana"/>
        <family val="2"/>
      </rPr>
      <t>Q</t>
    </r>
    <r>
      <rPr>
        <i/>
        <sz val="6"/>
        <color rgb="FF231F20"/>
        <rFont val="Verdana"/>
        <family val="2"/>
      </rPr>
      <t>Rn</t>
    </r>
  </si>
  <si>
    <r>
      <rPr>
        <sz val="9"/>
        <color rgb="FF231F20"/>
        <rFont val="Trebuchet MS"/>
        <family val="2"/>
      </rPr>
      <t>(96)    fenêtre zénithale</t>
    </r>
  </si>
  <si>
    <r>
      <rPr>
        <i/>
        <vertAlign val="superscript"/>
        <sz val="9"/>
        <color rgb="FF231F20"/>
        <rFont val="Verdana"/>
        <family val="2"/>
      </rPr>
      <t>Q</t>
    </r>
    <r>
      <rPr>
        <i/>
        <sz val="6"/>
        <color rgb="FF231F20"/>
        <rFont val="Verdana"/>
        <family val="2"/>
      </rPr>
      <t>WH</t>
    </r>
  </si>
  <si>
    <r>
      <rPr>
        <sz val="9"/>
        <color rgb="FF231F20"/>
        <rFont val="Trebuchet MS"/>
        <family val="2"/>
      </rPr>
      <t>(97)    fenêtre sud</t>
    </r>
  </si>
  <si>
    <r>
      <rPr>
        <i/>
        <vertAlign val="superscript"/>
        <sz val="9"/>
        <color rgb="FF231F20"/>
        <rFont val="Verdana"/>
        <family val="2"/>
      </rPr>
      <t>Q</t>
    </r>
    <r>
      <rPr>
        <i/>
        <sz val="6"/>
        <color rgb="FF231F20"/>
        <rFont val="Verdana"/>
        <family val="2"/>
      </rPr>
      <t>wS</t>
    </r>
  </si>
  <si>
    <r>
      <rPr>
        <sz val="9"/>
        <color rgb="FF231F20"/>
        <rFont val="Trebuchet MS"/>
        <family val="2"/>
      </rPr>
      <t>(98)    fenêtre est</t>
    </r>
  </si>
  <si>
    <r>
      <rPr>
        <i/>
        <vertAlign val="superscript"/>
        <sz val="9"/>
        <color rgb="FF231F20"/>
        <rFont val="Verdana"/>
        <family val="2"/>
      </rPr>
      <t>Q</t>
    </r>
    <r>
      <rPr>
        <i/>
        <sz val="6"/>
        <color rgb="FF231F20"/>
        <rFont val="Verdana"/>
        <family val="2"/>
      </rPr>
      <t>wE</t>
    </r>
  </si>
  <si>
    <r>
      <rPr>
        <sz val="9"/>
        <color rgb="FF231F20"/>
        <rFont val="Trebuchet MS"/>
        <family val="2"/>
      </rPr>
      <t>(99)    fenêtre ouest</t>
    </r>
  </si>
  <si>
    <r>
      <rPr>
        <i/>
        <vertAlign val="superscript"/>
        <sz val="9"/>
        <color rgb="FF231F20"/>
        <rFont val="Verdana"/>
        <family val="2"/>
      </rPr>
      <t>Q</t>
    </r>
    <r>
      <rPr>
        <i/>
        <sz val="6"/>
        <color rgb="FF231F20"/>
        <rFont val="Verdana"/>
        <family val="2"/>
      </rPr>
      <t>wW</t>
    </r>
  </si>
  <si>
    <r>
      <rPr>
        <sz val="9"/>
        <color rgb="FF231F20"/>
        <rFont val="Trebuchet MS"/>
        <family val="2"/>
      </rPr>
      <t>(100)  fenêtre nord</t>
    </r>
  </si>
  <si>
    <r>
      <rPr>
        <i/>
        <vertAlign val="superscript"/>
        <sz val="9"/>
        <color rgb="FF231F20"/>
        <rFont val="Verdana"/>
        <family val="2"/>
      </rPr>
      <t>Q</t>
    </r>
    <r>
      <rPr>
        <i/>
        <sz val="6"/>
        <color rgb="FF231F20"/>
        <rFont val="Verdana"/>
        <family val="2"/>
      </rPr>
      <t>wN</t>
    </r>
  </si>
  <si>
    <r>
      <rPr>
        <sz val="9"/>
        <color rgb="FF231F20"/>
        <rFont val="Trebuchet MS"/>
        <family val="2"/>
      </rPr>
      <t>(101)  pont thermique linéaire plafond/mur</t>
    </r>
  </si>
  <si>
    <r>
      <rPr>
        <i/>
        <vertAlign val="superscript"/>
        <sz val="9"/>
        <color rgb="FF231F20"/>
        <rFont val="Verdana"/>
        <family val="2"/>
      </rPr>
      <t>Q</t>
    </r>
    <r>
      <rPr>
        <i/>
        <sz val="6"/>
        <color rgb="FF231F20"/>
        <rFont val="Verdana"/>
        <family val="2"/>
      </rPr>
      <t>LRW</t>
    </r>
  </si>
  <si>
    <r>
      <rPr>
        <sz val="9"/>
        <color rgb="FF231F20"/>
        <rFont val="Trebuchet MS"/>
        <family val="2"/>
      </rPr>
      <t>(102)  pont thermique linéaire socle du bâtiment</t>
    </r>
  </si>
  <si>
    <r>
      <rPr>
        <i/>
        <vertAlign val="superscript"/>
        <sz val="9"/>
        <color rgb="FF231F20"/>
        <rFont val="Verdana"/>
        <family val="2"/>
      </rPr>
      <t>Q</t>
    </r>
    <r>
      <rPr>
        <i/>
        <sz val="6"/>
        <color rgb="FF231F20"/>
        <rFont val="Verdana"/>
        <family val="2"/>
      </rPr>
      <t>LWF</t>
    </r>
  </si>
  <si>
    <r>
      <rPr>
        <sz val="9"/>
        <color rgb="FF231F20"/>
        <rFont val="Trebuchet MS"/>
        <family val="2"/>
      </rPr>
      <t>(103)  pont thermique linéaire balcon</t>
    </r>
  </si>
  <si>
    <r>
      <rPr>
        <i/>
        <vertAlign val="superscript"/>
        <sz val="9"/>
        <color rgb="FF231F20"/>
        <rFont val="Verdana"/>
        <family val="2"/>
      </rPr>
      <t>Q</t>
    </r>
    <r>
      <rPr>
        <i/>
        <sz val="6"/>
        <color rgb="FF231F20"/>
        <rFont val="Verdana"/>
        <family val="2"/>
      </rPr>
      <t>lB</t>
    </r>
  </si>
  <si>
    <r>
      <rPr>
        <sz val="9"/>
        <color rgb="FF231F20"/>
        <rFont val="Trebuchet MS"/>
        <family val="2"/>
      </rPr>
      <t>(104)  pont thermique linéaire appui de fenêtre</t>
    </r>
  </si>
  <si>
    <r>
      <rPr>
        <i/>
        <vertAlign val="superscript"/>
        <sz val="9"/>
        <color rgb="FF231F20"/>
        <rFont val="Verdana"/>
        <family val="2"/>
      </rPr>
      <t>Q</t>
    </r>
    <r>
      <rPr>
        <i/>
        <sz val="6"/>
        <color rgb="FF231F20"/>
        <rFont val="Verdana"/>
        <family val="2"/>
      </rPr>
      <t>lw</t>
    </r>
  </si>
  <si>
    <r>
      <rPr>
        <sz val="9"/>
        <color rgb="FF231F20"/>
        <rFont val="Trebuchet MS"/>
        <family val="2"/>
      </rPr>
      <t>(105)  pont thermique linéaire plancher /</t>
    </r>
  </si>
  <si>
    <r>
      <rPr>
        <i/>
        <vertAlign val="superscript"/>
        <sz val="9"/>
        <color rgb="FF231F20"/>
        <rFont val="Verdana"/>
        <family val="2"/>
      </rPr>
      <t>Q</t>
    </r>
    <r>
      <rPr>
        <i/>
        <sz val="6"/>
        <color rgb="FF231F20"/>
        <rFont val="Verdana"/>
        <family val="2"/>
      </rPr>
      <t>LF</t>
    </r>
  </si>
  <si>
    <t>(106) mur intérieur de cave
(106)  pont thermique ponctuel piliers,                       supports, consoles</t>
  </si>
  <si>
    <t xml:space="preserve">Qp  </t>
  </si>
  <si>
    <t xml:space="preserve"> kWh/m2</t>
  </si>
  <si>
    <t xml:space="preserve">(107)  déperditions par transmission           </t>
  </si>
  <si>
    <t>QT</t>
  </si>
  <si>
    <r>
      <rPr>
        <b/>
        <sz val="9"/>
        <color rgb="FF231F20"/>
        <rFont val="Tahoma"/>
        <family val="2"/>
      </rPr>
      <t>Déperditions par renouvellement d’air</t>
    </r>
  </si>
  <si>
    <r>
      <rPr>
        <sz val="9"/>
        <color rgb="FF231F20"/>
        <rFont val="Trebuchet MS"/>
        <family val="2"/>
      </rPr>
      <t xml:space="preserve">(108)  capacité thermique volumique      </t>
    </r>
    <r>
      <rPr>
        <i/>
        <sz val="9"/>
        <color rgb="FF231F20"/>
        <rFont val="Arial Narrow"/>
        <family val="2"/>
      </rPr>
      <t>r</t>
    </r>
    <r>
      <rPr>
        <i/>
        <vertAlign val="subscript"/>
        <sz val="6"/>
        <color rgb="FF231F20"/>
        <rFont val="Verdana"/>
        <family val="2"/>
      </rPr>
      <t xml:space="preserve">a </t>
    </r>
    <r>
      <rPr>
        <sz val="9"/>
        <color rgb="FF231F20"/>
        <rFont val="Trebuchet MS"/>
        <family val="2"/>
      </rPr>
      <t xml:space="preserve">· </t>
    </r>
    <r>
      <rPr>
        <i/>
        <sz val="9"/>
        <color rgb="FF231F20"/>
        <rFont val="Verdana"/>
        <family val="2"/>
      </rPr>
      <t>c</t>
    </r>
    <r>
      <rPr>
        <i/>
        <vertAlign val="subscript"/>
        <sz val="6"/>
        <color rgb="FF231F20"/>
        <rFont val="Verdana"/>
        <family val="2"/>
      </rPr>
      <t>a</t>
    </r>
  </si>
  <si>
    <r>
      <rPr>
        <sz val="9"/>
        <color rgb="FF231F20"/>
        <rFont val="Trebuchet MS"/>
        <family val="2"/>
      </rPr>
      <t>Wh/(m</t>
    </r>
    <r>
      <rPr>
        <vertAlign val="superscript"/>
        <sz val="9"/>
        <color rgb="FF231F20"/>
        <rFont val="Trebuchet MS"/>
        <family val="2"/>
      </rPr>
      <t>3</t>
    </r>
    <r>
      <rPr>
        <sz val="9"/>
        <color rgb="FF231F20"/>
        <rFont val="Trebuchet MS"/>
        <family val="2"/>
      </rPr>
      <t>·K)</t>
    </r>
  </si>
  <si>
    <r>
      <rPr>
        <sz val="9"/>
        <color rgb="FF231F20"/>
        <rFont val="Trebuchet MS"/>
        <family val="2"/>
      </rPr>
      <t xml:space="preserve">(109)  débit d’air neuf thermiquement         </t>
    </r>
    <r>
      <rPr>
        <i/>
        <sz val="9"/>
        <color rgb="FF231F20"/>
        <rFont val="Verdana"/>
        <family val="2"/>
      </rPr>
      <t>q</t>
    </r>
    <r>
      <rPr>
        <i/>
        <vertAlign val="subscript"/>
        <sz val="6"/>
        <color rgb="FF231F20"/>
        <rFont val="Verdana"/>
        <family val="2"/>
      </rPr>
      <t xml:space="preserve">th
</t>
    </r>
    <r>
      <rPr>
        <sz val="9"/>
        <color rgb="FF231F20"/>
        <rFont val="Trebuchet MS"/>
        <family val="2"/>
      </rPr>
      <t>actif</t>
    </r>
  </si>
  <si>
    <r>
      <rPr>
        <sz val="9"/>
        <color rgb="FF231F20"/>
        <rFont val="Trebuchet MS"/>
        <family val="2"/>
      </rPr>
      <t xml:space="preserve">(110)  déperditions par renouvellement      </t>
    </r>
    <r>
      <rPr>
        <i/>
        <sz val="9"/>
        <color rgb="FF231F20"/>
        <rFont val="Verdana"/>
        <family val="2"/>
      </rPr>
      <t>Q</t>
    </r>
    <r>
      <rPr>
        <i/>
        <vertAlign val="subscript"/>
        <sz val="6"/>
        <color rgb="FF231F20"/>
        <rFont val="Verdana"/>
        <family val="2"/>
      </rPr>
      <t xml:space="preserve">V
</t>
    </r>
    <r>
      <rPr>
        <sz val="9"/>
        <color rgb="FF231F20"/>
        <rFont val="Trebuchet MS"/>
        <family val="2"/>
      </rPr>
      <t>de l’air</t>
    </r>
  </si>
  <si>
    <r>
      <rPr>
        <b/>
        <sz val="9"/>
        <color rgb="FF231F20"/>
        <rFont val="Tahoma"/>
        <family val="2"/>
      </rPr>
      <t>Déperditions totales</t>
    </r>
  </si>
  <si>
    <r>
      <rPr>
        <sz val="9"/>
        <color rgb="FF231F20"/>
        <rFont val="Trebuchet MS"/>
        <family val="2"/>
      </rPr>
      <t xml:space="preserve">(111)  déperditions totales                         </t>
    </r>
    <r>
      <rPr>
        <i/>
        <sz val="9"/>
        <color rgb="FF231F20"/>
        <rFont val="Verdana"/>
        <family val="2"/>
      </rPr>
      <t>Q</t>
    </r>
    <r>
      <rPr>
        <i/>
        <vertAlign val="subscript"/>
        <sz val="6"/>
        <color rgb="FF231F20"/>
        <rFont val="Verdana"/>
        <family val="2"/>
      </rPr>
      <t>tot</t>
    </r>
  </si>
  <si>
    <r>
      <rPr>
        <sz val="9"/>
        <color rgb="FF231F20"/>
        <rFont val="Trebuchet MS"/>
        <family val="2"/>
      </rPr>
      <t xml:space="preserve">(112)  coefficient de transfert     thermique spécifique                   </t>
    </r>
    <r>
      <rPr>
        <i/>
        <sz val="9"/>
        <color rgb="FF231F20"/>
        <rFont val="Verdana"/>
        <family val="2"/>
      </rPr>
      <t>H</t>
    </r>
  </si>
  <si>
    <r>
      <rPr>
        <b/>
        <sz val="9"/>
        <color rgb="FF231F20"/>
        <rFont val="Tahoma"/>
        <family val="2"/>
      </rPr>
      <t>Apports de chaleur</t>
    </r>
  </si>
  <si>
    <r>
      <rPr>
        <sz val="9"/>
        <color rgb="FF231F20"/>
        <rFont val="Trebuchet MS"/>
        <family val="2"/>
      </rPr>
      <t>(113)  apports de chaleur internes des installations électriques</t>
    </r>
  </si>
  <si>
    <r>
      <rPr>
        <i/>
        <vertAlign val="superscript"/>
        <sz val="9"/>
        <color rgb="FF231F20"/>
        <rFont val="Verdana"/>
        <family val="2"/>
      </rPr>
      <t>Q</t>
    </r>
    <r>
      <rPr>
        <i/>
        <sz val="6"/>
        <color rgb="FF231F20"/>
        <rFont val="Verdana"/>
        <family val="2"/>
      </rPr>
      <t>i,eI</t>
    </r>
  </si>
  <si>
    <r>
      <rPr>
        <sz val="9"/>
        <color rgb="FF231F20"/>
        <rFont val="Trebuchet MS"/>
        <family val="2"/>
      </rPr>
      <t>(114)  apports de chaleur dus aux personnes</t>
    </r>
  </si>
  <si>
    <r>
      <rPr>
        <i/>
        <vertAlign val="superscript"/>
        <sz val="9"/>
        <color rgb="FF231F20"/>
        <rFont val="Verdana"/>
        <family val="2"/>
      </rPr>
      <t>Q</t>
    </r>
    <r>
      <rPr>
        <i/>
        <sz val="6"/>
        <color rgb="FF231F20"/>
        <rFont val="Verdana"/>
        <family val="2"/>
      </rPr>
      <t>I,P</t>
    </r>
  </si>
  <si>
    <r>
      <rPr>
        <sz val="9"/>
        <color rgb="FF231F20"/>
        <rFont val="Trebuchet MS"/>
        <family val="2"/>
      </rPr>
      <t>(115)  apports de chaleur interne</t>
    </r>
  </si>
  <si>
    <r>
      <rPr>
        <i/>
        <sz val="9"/>
        <color rgb="FF231F20"/>
        <rFont val="Verdana"/>
        <family val="2"/>
      </rPr>
      <t>Q</t>
    </r>
    <r>
      <rPr>
        <i/>
        <vertAlign val="subscript"/>
        <sz val="6"/>
        <color rgb="FF231F20"/>
        <rFont val="Verdana"/>
        <family val="2"/>
      </rPr>
      <t>i</t>
    </r>
  </si>
  <si>
    <r>
      <rPr>
        <sz val="9"/>
        <color rgb="FF231F20"/>
        <rFont val="Trebuchet MS"/>
        <family val="2"/>
      </rPr>
      <t>(116)  apports solaires zénithaux</t>
    </r>
  </si>
  <si>
    <r>
      <rPr>
        <i/>
        <vertAlign val="superscript"/>
        <sz val="9"/>
        <color rgb="FF231F20"/>
        <rFont val="Verdana"/>
        <family val="2"/>
      </rPr>
      <t>Q</t>
    </r>
    <r>
      <rPr>
        <i/>
        <sz val="6"/>
        <color rgb="FF231F20"/>
        <rFont val="Verdana"/>
        <family val="2"/>
      </rPr>
      <t>sH</t>
    </r>
  </si>
  <si>
    <r>
      <rPr>
        <sz val="9"/>
        <color rgb="FF231F20"/>
        <rFont val="Trebuchet MS"/>
        <family val="2"/>
      </rPr>
      <t>(117)  apports solaires sud</t>
    </r>
  </si>
  <si>
    <r>
      <rPr>
        <i/>
        <vertAlign val="superscript"/>
        <sz val="9"/>
        <color rgb="FF231F20"/>
        <rFont val="Verdana"/>
        <family val="2"/>
      </rPr>
      <t>Q</t>
    </r>
    <r>
      <rPr>
        <i/>
        <sz val="6"/>
        <color rgb="FF231F20"/>
        <rFont val="Verdana"/>
        <family val="2"/>
      </rPr>
      <t>sS</t>
    </r>
  </si>
  <si>
    <r>
      <rPr>
        <sz val="9"/>
        <color rgb="FF231F20"/>
        <rFont val="Trebuchet MS"/>
        <family val="2"/>
      </rPr>
      <t>(118)  apports solaires est</t>
    </r>
  </si>
  <si>
    <r>
      <rPr>
        <i/>
        <vertAlign val="superscript"/>
        <sz val="9"/>
        <color rgb="FF231F20"/>
        <rFont val="Verdana"/>
        <family val="2"/>
      </rPr>
      <t>Q</t>
    </r>
    <r>
      <rPr>
        <i/>
        <sz val="6"/>
        <color rgb="FF231F20"/>
        <rFont val="Verdana"/>
        <family val="2"/>
      </rPr>
      <t>sE</t>
    </r>
  </si>
  <si>
    <r>
      <rPr>
        <sz val="9"/>
        <color rgb="FF231F20"/>
        <rFont val="Trebuchet MS"/>
        <family val="2"/>
      </rPr>
      <t>(119)  apports solaires ouest</t>
    </r>
  </si>
  <si>
    <r>
      <rPr>
        <i/>
        <vertAlign val="superscript"/>
        <sz val="9"/>
        <color rgb="FF231F20"/>
        <rFont val="Verdana"/>
        <family val="2"/>
      </rPr>
      <t>Q</t>
    </r>
    <r>
      <rPr>
        <i/>
        <sz val="6"/>
        <color rgb="FF231F20"/>
        <rFont val="Verdana"/>
        <family val="2"/>
      </rPr>
      <t>sW</t>
    </r>
  </si>
  <si>
    <r>
      <rPr>
        <sz val="9"/>
        <color rgb="FF231F20"/>
        <rFont val="Trebuchet MS"/>
        <family val="2"/>
      </rPr>
      <t>(120)  apports solaires nord</t>
    </r>
  </si>
  <si>
    <r>
      <rPr>
        <i/>
        <vertAlign val="superscript"/>
        <sz val="9"/>
        <color rgb="FF231F20"/>
        <rFont val="Verdana"/>
        <family val="2"/>
      </rPr>
      <t>Q</t>
    </r>
    <r>
      <rPr>
        <i/>
        <sz val="6"/>
        <color rgb="FF231F20"/>
        <rFont val="Verdana"/>
        <family val="2"/>
      </rPr>
      <t>sN</t>
    </r>
  </si>
  <si>
    <r>
      <rPr>
        <sz val="9"/>
        <color rgb="FF231F20"/>
        <rFont val="Trebuchet MS"/>
        <family val="2"/>
      </rPr>
      <t>(121)  apports solaires totaux</t>
    </r>
  </si>
  <si>
    <r>
      <rPr>
        <i/>
        <sz val="9"/>
        <color rgb="FF231F20"/>
        <rFont val="Verdana"/>
        <family val="2"/>
      </rPr>
      <t>Q</t>
    </r>
    <r>
      <rPr>
        <i/>
        <vertAlign val="subscript"/>
        <sz val="6"/>
        <color rgb="FF231F20"/>
        <rFont val="Verdana"/>
        <family val="2"/>
      </rPr>
      <t>s</t>
    </r>
  </si>
  <si>
    <r>
      <rPr>
        <sz val="9"/>
        <color rgb="FF231F20"/>
        <rFont val="Trebuchet MS"/>
        <family val="2"/>
      </rPr>
      <t>(122)  apports totaux de chaleur</t>
    </r>
  </si>
  <si>
    <r>
      <rPr>
        <i/>
        <sz val="9"/>
        <color rgb="FF231F20"/>
        <rFont val="Verdana"/>
        <family val="2"/>
      </rPr>
      <t>Q</t>
    </r>
    <r>
      <rPr>
        <i/>
        <vertAlign val="subscript"/>
        <sz val="6"/>
        <color rgb="FF231F20"/>
        <rFont val="Verdana"/>
        <family val="2"/>
      </rPr>
      <t>g</t>
    </r>
  </si>
  <si>
    <t>(123)  quotient entre les apports totaux de chaleur et les déperditions totales</t>
  </si>
  <si>
    <r>
      <rPr>
        <i/>
        <sz val="9"/>
        <color rgb="FF231F20"/>
        <rFont val="Arial Narrow"/>
        <family val="2"/>
      </rPr>
      <t>g</t>
    </r>
  </si>
  <si>
    <r>
      <rPr>
        <sz val="9"/>
        <color rgb="FF231F20"/>
        <rFont val="Trebuchet MS"/>
        <family val="2"/>
      </rPr>
      <t>(124)  constante de temps du bâtiment</t>
    </r>
  </si>
  <si>
    <r>
      <rPr>
        <i/>
        <sz val="9"/>
        <color rgb="FF231F20"/>
        <rFont val="Arial Narrow"/>
        <family val="2"/>
      </rPr>
      <t>t</t>
    </r>
  </si>
  <si>
    <r>
      <rPr>
        <sz val="9"/>
        <color rgb="FF231F20"/>
        <rFont val="Trebuchet MS"/>
        <family val="2"/>
      </rPr>
      <t>(125)  taux d’utilisation des apports</t>
    </r>
  </si>
  <si>
    <r>
      <rPr>
        <i/>
        <sz val="9"/>
        <color rgb="FF231F20"/>
        <rFont val="Verdana"/>
        <family val="2"/>
      </rPr>
      <t>a</t>
    </r>
  </si>
  <si>
    <r>
      <rPr>
        <sz val="9"/>
        <color rgb="FF231F20"/>
        <rFont val="Trebuchet MS"/>
        <family val="2"/>
      </rPr>
      <t>(126)  paramètre numérique</t>
    </r>
  </si>
  <si>
    <r>
      <rPr>
        <i/>
        <sz val="9"/>
        <color rgb="FF231F20"/>
        <rFont val="Arial Narrow"/>
        <family val="2"/>
      </rPr>
      <t>h</t>
    </r>
    <r>
      <rPr>
        <i/>
        <vertAlign val="subscript"/>
        <sz val="6"/>
        <color rgb="FF231F20"/>
        <rFont val="Verdana"/>
        <family val="2"/>
      </rPr>
      <t>g</t>
    </r>
  </si>
  <si>
    <r>
      <rPr>
        <sz val="9"/>
        <color rgb="FF231F20"/>
        <rFont val="Trebuchet MS"/>
        <family val="2"/>
      </rPr>
      <t>(127)  apports utiles de chaleur</t>
    </r>
  </si>
  <si>
    <r>
      <rPr>
        <i/>
        <vertAlign val="superscript"/>
        <sz val="9"/>
        <color rgb="FF231F20"/>
        <rFont val="Verdana"/>
        <family val="2"/>
      </rPr>
      <t>Q</t>
    </r>
    <r>
      <rPr>
        <i/>
        <sz val="6"/>
        <color rgb="FF231F20"/>
        <rFont val="Verdana"/>
        <family val="2"/>
      </rPr>
      <t>ug</t>
    </r>
  </si>
  <si>
    <r>
      <rPr>
        <sz val="9"/>
        <color rgb="FF231F20"/>
        <rFont val="Trebuchet MS"/>
        <family val="2"/>
      </rPr>
      <t>(128)  taux de couverture des besoins par les apports de chaleur</t>
    </r>
  </si>
  <si>
    <r>
      <rPr>
        <i/>
        <vertAlign val="superscript"/>
        <sz val="9"/>
        <color rgb="FF231F20"/>
        <rFont val="Verdana"/>
        <family val="2"/>
      </rPr>
      <t>f</t>
    </r>
    <r>
      <rPr>
        <i/>
        <sz val="6"/>
        <color rgb="FF231F20"/>
        <rFont val="Verdana"/>
        <family val="2"/>
      </rPr>
      <t>ug</t>
    </r>
  </si>
  <si>
    <t>Besoins de chaleur pour le chauffage</t>
  </si>
  <si>
    <t>(129)  besoins de chaleur pour le chauffage</t>
  </si>
  <si>
    <t xml:space="preserve">QH      </t>
  </si>
  <si>
    <t>Altitude</t>
  </si>
  <si>
    <t>SMA</t>
  </si>
  <si>
    <t>Zürich-MeteoSchweiz</t>
  </si>
  <si>
    <t>KLO</t>
  </si>
  <si>
    <t>Zürich-Kloten</t>
  </si>
  <si>
    <t>ZER</t>
  </si>
  <si>
    <t>Zermatt</t>
  </si>
  <si>
    <t>WYN</t>
  </si>
  <si>
    <t>Wynau</t>
  </si>
  <si>
    <t>VAD</t>
  </si>
  <si>
    <t>Vaduz</t>
  </si>
  <si>
    <t>ULR</t>
  </si>
  <si>
    <t>Ulrichen</t>
  </si>
  <si>
    <t>SIO</t>
  </si>
  <si>
    <t>Sion</t>
  </si>
  <si>
    <t>SCU</t>
  </si>
  <si>
    <t>Scuol</t>
  </si>
  <si>
    <t>SHA</t>
  </si>
  <si>
    <t>Schaffhausen</t>
  </si>
  <si>
    <t>STG</t>
  </si>
  <si>
    <t>St. Gallen</t>
  </si>
  <si>
    <t>SBE</t>
  </si>
  <si>
    <t>San Bernardino</t>
  </si>
  <si>
    <t>SAM</t>
  </si>
  <si>
    <t>Samedan</t>
  </si>
  <si>
    <t>RUE</t>
  </si>
  <si>
    <t>Rünenberg</t>
  </si>
  <si>
    <t>ROB</t>
  </si>
  <si>
    <t>Robbia</t>
  </si>
  <si>
    <t>PUY</t>
  </si>
  <si>
    <t>Pully</t>
  </si>
  <si>
    <t>PIO</t>
  </si>
  <si>
    <t>Piotta</t>
  </si>
  <si>
    <t>PAY</t>
  </si>
  <si>
    <t>Payerne</t>
  </si>
  <si>
    <t>NEU</t>
  </si>
  <si>
    <t>Neuchâtel</t>
  </si>
  <si>
    <t>MVE</t>
  </si>
  <si>
    <t>Montana</t>
  </si>
  <si>
    <t>MAG</t>
  </si>
  <si>
    <t>Magadino</t>
  </si>
  <si>
    <t>LUZ</t>
  </si>
  <si>
    <t>Luzern</t>
  </si>
  <si>
    <t>LUG</t>
  </si>
  <si>
    <t>Lugano</t>
  </si>
  <si>
    <t>OTL</t>
  </si>
  <si>
    <t>Locarno-Monti</t>
  </si>
  <si>
    <t>FRE</t>
  </si>
  <si>
    <t>La Frétaz</t>
  </si>
  <si>
    <t>CDF</t>
  </si>
  <si>
    <t>La Chaux-de-Fonds</t>
  </si>
  <si>
    <t>INT</t>
  </si>
  <si>
    <t>Interlaken</t>
  </si>
  <si>
    <t>GUT</t>
  </si>
  <si>
    <t>Güttingen</t>
  </si>
  <si>
    <t>GSB</t>
  </si>
  <si>
    <t>Grand-St-Bernard</t>
  </si>
  <si>
    <t>GLA</t>
  </si>
  <si>
    <t>Glarus</t>
  </si>
  <si>
    <t>GVE</t>
  </si>
  <si>
    <t>Genève-Cointrin</t>
  </si>
  <si>
    <t>ENG</t>
  </si>
  <si>
    <t>Engelberg</t>
  </si>
  <si>
    <t>DIS</t>
  </si>
  <si>
    <t>Disentis</t>
  </si>
  <si>
    <t>DAV</t>
  </si>
  <si>
    <t>Davos</t>
  </si>
  <si>
    <t>CHU</t>
  </si>
  <si>
    <t>Chur</t>
  </si>
  <si>
    <t>BUS</t>
  </si>
  <si>
    <t>Buchs-Aarau</t>
  </si>
  <si>
    <t>BER</t>
  </si>
  <si>
    <t>Bern-Liebefeld</t>
  </si>
  <si>
    <t>BAS</t>
  </si>
  <si>
    <t>Basel-Binningen</t>
  </si>
  <si>
    <t>ALT</t>
  </si>
  <si>
    <t>Altdorf</t>
  </si>
  <si>
    <t>AIG</t>
  </si>
  <si>
    <t>Aigle</t>
  </si>
  <si>
    <t>ABO</t>
  </si>
  <si>
    <t>Adelboden</t>
  </si>
  <si>
    <t>Abréviation</t>
  </si>
  <si>
    <t>N</t>
  </si>
  <si>
    <t>O</t>
  </si>
  <si>
    <t>S</t>
  </si>
  <si>
    <t>E</t>
  </si>
  <si>
    <t>horizontal</t>
  </si>
  <si>
    <t>Température de l’air, valeur moyenne</t>
  </si>
  <si>
    <t>Station</t>
  </si>
  <si>
    <t>Toit</t>
  </si>
  <si>
    <t>heat pump, air-water, 7kW</t>
  </si>
  <si>
    <t>heat pump, brine-water, 7kW</t>
  </si>
  <si>
    <t>heat pump, air-water, 15kW</t>
  </si>
  <si>
    <t>heat pump, air-water, 50kW</t>
  </si>
  <si>
    <t>heat pump, brine-water, 15kW</t>
  </si>
  <si>
    <t>heat pump, brine-water, 50kW</t>
  </si>
  <si>
    <t>kgCO2/kg</t>
  </si>
  <si>
    <t>kg heat pump</t>
  </si>
  <si>
    <t>Fluid</t>
  </si>
  <si>
    <t>Coolant</t>
  </si>
  <si>
    <t>kgCO2/piece</t>
  </si>
  <si>
    <t>Pompe à chaleur saumure-eau 15 kW</t>
  </si>
  <si>
    <t>Pompe à chaleur air-eau 15 kW</t>
  </si>
  <si>
    <t>Pompe à chaleur saumure-eau 50 kW</t>
  </si>
  <si>
    <t>Pompe à chaleur air-eau 50 kW</t>
  </si>
  <si>
    <t>Réfrigérant</t>
  </si>
  <si>
    <t>Refrigerant</t>
  </si>
  <si>
    <t>(18) toit exposé à l’air extérieur</t>
  </si>
  <si>
    <t>Toit Structure</t>
  </si>
  <si>
    <t>Epaisseur (cm)</t>
  </si>
  <si>
    <t>lambda (w/m.K)</t>
  </si>
  <si>
    <t>Résitance thermique</t>
  </si>
  <si>
    <t>Résistance thermique</t>
  </si>
  <si>
    <t>Lambda</t>
  </si>
  <si>
    <t>densité</t>
  </si>
  <si>
    <t>W/K/m</t>
  </si>
  <si>
    <t>kg/m3</t>
  </si>
  <si>
    <t>Contre terre</t>
  </si>
  <si>
    <t>Façade - Isolant extérieur</t>
  </si>
  <si>
    <t>Façade - Paroi double</t>
  </si>
  <si>
    <t>Paroi intérieur - Isolant</t>
  </si>
  <si>
    <t>0.028–0.036</t>
  </si>
  <si>
    <t>25–65</t>
  </si>
  <si>
    <t>0.032–0.042</t>
  </si>
  <si>
    <t>30-15</t>
  </si>
  <si>
    <t>EPS graphite</t>
  </si>
  <si>
    <t>0.026 –0.033</t>
  </si>
  <si>
    <t>28–55</t>
  </si>
  <si>
    <t>Laine roche</t>
  </si>
  <si>
    <t>0.034 –0.048</t>
  </si>
  <si>
    <t>15–200</t>
  </si>
  <si>
    <t>0.031 –0.048</t>
  </si>
  <si>
    <t>10–120</t>
  </si>
  <si>
    <t>0.040–0.055</t>
  </si>
  <si>
    <t>100 –150</t>
  </si>
  <si>
    <t>Fibre de bois</t>
  </si>
  <si>
    <t>0.044–0.065</t>
  </si>
  <si>
    <t>120 –300</t>
  </si>
  <si>
    <t>Laine de mouton</t>
  </si>
  <si>
    <t>0.034-0.055</t>
  </si>
  <si>
    <t>20–60</t>
  </si>
  <si>
    <t>Valeur U demandée</t>
  </si>
  <si>
    <t>Résistance de la structure</t>
  </si>
  <si>
    <t>Résistance isolation</t>
  </si>
  <si>
    <t>Contre non-chauffé</t>
  </si>
  <si>
    <t>non-isolées</t>
  </si>
  <si>
    <t>Résistance superficielle</t>
  </si>
  <si>
    <t>m nécessaire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</si>
</sst>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0.00_-;\-* #,##0.00_-;_-* &quot;-&quot;??_-;_-@_-"/>
    <numFmt numFmtId="164" formatCode="_ * #,##0.00_ ;_ * \-#,##0.00_ ;_ * &quot;-&quot;??_ ;_ @_ "/>
    <numFmt numFmtId="165" formatCode="0.0"/>
    <numFmt numFmtId="166" formatCode="0.000"/>
    <numFmt numFmtId="167" formatCode="#,##0.0"/>
    <numFmt numFmtId="168" formatCode="00"/>
    <numFmt numFmtId="169" formatCode="00.000"/>
    <numFmt numFmtId="170" formatCode="0.0000"/>
    <numFmt numFmtId="171" formatCode="0.00000"/>
    <numFmt numFmtId="172" formatCode="_(* #,##0_);_(* \(#,##0\);_(* &quot;-&quot;_);_(@_)"/>
    <numFmt numFmtId="173" formatCode="_(* #,##0.00_);_(* \(#,##0.00\);_(* &quot;-&quot;??_);_(@_)"/>
    <numFmt numFmtId="174" formatCode="_(&quot;$&quot;* #,##0_);_(&quot;$&quot;* \(#,##0\);_(&quot;$&quot;* &quot;-&quot;_);_(@_)"/>
    <numFmt numFmtId="175" formatCode="_(&quot;$&quot;* #,##0.00_);_(&quot;$&quot;* \(#,##0.00\);_(&quot;$&quot;* &quot;-&quot;??_);_(@_)"/>
    <numFmt numFmtId="176" formatCode="#,##0.0&quot; dt&quot;;[Red]#,##0.0&quot; dt&quot;"/>
    <numFmt numFmtId="177" formatCode="0.00E+0;[=0]&quot;-&quot;;0.00E+0"/>
    <numFmt numFmtId="178" formatCode="_ [$€-2]\ * #,##0.00_ ;_ [$€-2]\ * \-#,##0.00_ ;_ [$€-2]\ * &quot;-&quot;??_ "/>
    <numFmt numFmtId="179" formatCode="&quot;$&quot;#,##0"/>
    <numFmt numFmtId="180" formatCode="#,##0&quot; kg&quot;;[Red]#,##0&quot; kg&quot;"/>
    <numFmt numFmtId="181" formatCode="#,##0&quot; Liter&quot;;[Red]#,##0&quot; Liter&quot;"/>
    <numFmt numFmtId="182" formatCode="#,##0&quot; m2&quot;;[Red]#,##0&quot; m2&quot;"/>
    <numFmt numFmtId="183" formatCode="#,##0&quot; m2a&quot;;[Red]#,##0&quot; m2a&quot;"/>
    <numFmt numFmtId="184" formatCode="#,##0.0&quot; m3&quot;;[Red]#,##0.0&quot; m3&quot;"/>
    <numFmt numFmtId="185" formatCode="0.00E+0;[=0]&quot;0&quot;;General"/>
    <numFmt numFmtId="186" formatCode="0.00%;[=0]&quot;0&quot;;General"/>
    <numFmt numFmtId="187" formatCode="0.0%;[=0]&quot;0%&quot;;0.0%"/>
    <numFmt numFmtId="188" formatCode="0.0%"/>
    <numFmt numFmtId="189" formatCode="[=0]&quot;&quot;;General"/>
    <numFmt numFmtId="190" formatCode="0.0E+0;[=0]&quot;-&quot;;0.0E+0"/>
    <numFmt numFmtId="191" formatCode="#,##0.0&quot; ZKh&quot;;[Red]#,##0.0&quot; ZKh&quot;"/>
    <numFmt numFmtId="192" formatCode="#,##0.00\ _C_H_F"/>
    <numFmt numFmtId="193" formatCode="#,##0.0&quot;m²/SRE&quot;"/>
    <numFmt numFmtId="194" formatCode="0&quot;m2&quot;"/>
    <numFmt numFmtId="195" formatCode="#,##0.00000_ ;\-#,##0.00000\ "/>
    <numFmt numFmtId="196" formatCode="_ * #,##0.00000_ ;_ * \-#,##0.00000_ ;_ * &quot;-&quot;??_ ;_ @_ "/>
    <numFmt numFmtId="197" formatCode="0.000000000000E+00"/>
    <numFmt numFmtId="198" formatCode="0&quot;m&quot;"/>
    <numFmt numFmtId="199" formatCode="0.000000000"/>
    <numFmt numFmtId="200" formatCode="_-* #,##0.0_-;\-* #,##0.0_-;_-* &quot;-&quot;??_-;_-@_-"/>
    <numFmt numFmtId="201" formatCode="_-* #,##0_-;\-* #,##0_-;_-* &quot;-&quot;??_-;_-@_-"/>
    <numFmt numFmtId="202" formatCode="0;\-0;;@"/>
    <numFmt numFmtId="203" formatCode="0.0;\-0.0;;@"/>
    <numFmt numFmtId="204" formatCode="#,##0&quot;km&quot;"/>
    <numFmt numFmtId="205" formatCode="0.000000"/>
  </numFmts>
  <fonts count="13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u/>
      <sz val="12"/>
      <color theme="10"/>
      <name val="Calibri"/>
      <family val="2"/>
      <scheme val="minor"/>
    </font>
    <font>
      <u/>
      <sz val="12"/>
      <color theme="11"/>
      <name val="Calibri"/>
      <family val="2"/>
      <scheme val="minor"/>
    </font>
    <font>
      <sz val="10"/>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10"/>
      <name val="Arial"/>
      <family val="2"/>
    </font>
    <font>
      <sz val="11"/>
      <color theme="1"/>
      <name val="Calibri"/>
      <family val="2"/>
      <scheme val="minor"/>
    </font>
    <font>
      <b/>
      <sz val="14"/>
      <name val="Arial"/>
      <family val="2"/>
    </font>
    <font>
      <b/>
      <sz val="9"/>
      <name val="Arial"/>
      <family val="2"/>
    </font>
    <font>
      <sz val="8"/>
      <name val="Arial"/>
      <family val="2"/>
    </font>
    <font>
      <b/>
      <sz val="9"/>
      <color rgb="FFFF0000"/>
      <name val="Arial"/>
      <family val="2"/>
    </font>
    <font>
      <b/>
      <sz val="11"/>
      <name val="Arial"/>
      <family val="2"/>
    </font>
    <font>
      <b/>
      <sz val="8"/>
      <name val="Arial"/>
      <family val="2"/>
    </font>
    <font>
      <sz val="8"/>
      <color rgb="FFFF0000"/>
      <name val="Arial"/>
      <family val="2"/>
    </font>
    <font>
      <vertAlign val="subscript"/>
      <sz val="8"/>
      <name val="Arial"/>
      <family val="2"/>
    </font>
    <font>
      <b/>
      <sz val="10"/>
      <color rgb="FFFF0000"/>
      <name val="Arial"/>
      <family val="2"/>
    </font>
    <font>
      <b/>
      <i/>
      <sz val="10"/>
      <color rgb="FFFF0000"/>
      <name val="Arial"/>
      <family val="2"/>
    </font>
    <font>
      <sz val="10"/>
      <color rgb="FFFF0000"/>
      <name val="Arial"/>
      <family val="2"/>
    </font>
    <font>
      <b/>
      <vertAlign val="superscript"/>
      <sz val="10"/>
      <name val="Arial"/>
      <family val="2"/>
    </font>
    <font>
      <b/>
      <i/>
      <sz val="10"/>
      <name val="Arial"/>
      <family val="2"/>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sz val="9"/>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2"/>
      <name val="Arial"/>
      <family val="2"/>
    </font>
    <font>
      <b/>
      <vertAlign val="superscript"/>
      <sz val="11"/>
      <color theme="1"/>
      <name val="Arial"/>
      <family val="2"/>
    </font>
    <font>
      <sz val="10"/>
      <color rgb="FF000000"/>
      <name val="Tahoma"/>
      <family val="2"/>
    </font>
    <font>
      <b/>
      <sz val="10"/>
      <color rgb="FF000000"/>
      <name val="Tahoma"/>
      <family val="2"/>
    </font>
    <font>
      <sz val="11"/>
      <color rgb="FFFF0000"/>
      <name val="Arial"/>
      <family val="2"/>
    </font>
    <font>
      <sz val="11"/>
      <name val="Arial"/>
      <family val="2"/>
    </font>
    <font>
      <sz val="28"/>
      <color theme="1"/>
      <name val="Calibri"/>
      <family val="2"/>
      <scheme val="minor"/>
    </font>
    <font>
      <sz val="9"/>
      <color indexed="81"/>
      <name val="Tahoma"/>
      <family val="2"/>
    </font>
    <font>
      <b/>
      <sz val="9"/>
      <color indexed="81"/>
      <name val="Tahoma"/>
      <family val="2"/>
    </font>
    <font>
      <sz val="12"/>
      <color theme="1"/>
      <name val="Calibri"/>
      <family val="2"/>
      <scheme val="minor"/>
    </font>
    <font>
      <sz val="12"/>
      <color rgb="FFFF0000"/>
      <name val="Calibri"/>
      <family val="2"/>
      <scheme val="minor"/>
    </font>
    <font>
      <b/>
      <sz val="12"/>
      <color theme="1"/>
      <name val="Calibri"/>
      <family val="2"/>
      <scheme val="minor"/>
    </font>
    <font>
      <b/>
      <sz val="16"/>
      <color theme="1"/>
      <name val="Calibri"/>
      <family val="2"/>
      <scheme val="minor"/>
    </font>
    <font>
      <vertAlign val="superscript"/>
      <sz val="11"/>
      <color theme="1"/>
      <name val="Arial"/>
      <family val="2"/>
    </font>
    <font>
      <b/>
      <sz val="14"/>
      <color theme="1"/>
      <name val="Calibri"/>
      <family val="2"/>
      <scheme val="minor"/>
    </font>
    <font>
      <b/>
      <sz val="12"/>
      <name val="Arial"/>
      <family val="2"/>
    </font>
    <font>
      <vertAlign val="superscript"/>
      <sz val="10"/>
      <name val="Arial"/>
      <family val="2"/>
    </font>
    <font>
      <vertAlign val="superscript"/>
      <sz val="10"/>
      <color rgb="FFFF0000"/>
      <name val="Arial"/>
      <family val="2"/>
    </font>
    <font>
      <vertAlign val="superscript"/>
      <sz val="9"/>
      <name val="Arial"/>
      <family val="2"/>
    </font>
    <font>
      <sz val="9"/>
      <color rgb="FFFF0000"/>
      <name val="Arial"/>
      <family val="2"/>
    </font>
    <font>
      <b/>
      <sz val="12"/>
      <name val="Calibri"/>
      <family val="2"/>
      <scheme val="minor"/>
    </font>
    <font>
      <sz val="8"/>
      <name val="Calibri"/>
      <family val="2"/>
      <scheme val="minor"/>
    </font>
    <font>
      <sz val="12"/>
      <name val="Calibri"/>
      <family val="2"/>
      <scheme val="minor"/>
    </font>
    <font>
      <sz val="12"/>
      <color theme="9" tint="-0.249977111117893"/>
      <name val="Calibri"/>
      <family val="2"/>
      <scheme val="minor"/>
    </font>
    <font>
      <b/>
      <sz val="18"/>
      <color theme="1"/>
      <name val="Calibri"/>
      <family val="2"/>
      <scheme val="minor"/>
    </font>
    <font>
      <b/>
      <sz val="12"/>
      <color theme="9" tint="-0.249977111117893"/>
      <name val="Calibri"/>
      <family val="2"/>
      <scheme val="minor"/>
    </font>
    <font>
      <vertAlign val="superscript"/>
      <sz val="9"/>
      <color rgb="FFFF0000"/>
      <name val="Arial"/>
      <family val="2"/>
    </font>
    <font>
      <b/>
      <sz val="20"/>
      <color theme="1"/>
      <name val="Calibri"/>
      <family val="2"/>
      <scheme val="minor"/>
    </font>
    <font>
      <u/>
      <sz val="12"/>
      <color theme="1"/>
      <name val="Calibri"/>
      <family val="2"/>
      <scheme val="minor"/>
    </font>
    <font>
      <b/>
      <sz val="48"/>
      <color theme="1"/>
      <name val="Calibri"/>
      <family val="2"/>
      <scheme val="minor"/>
    </font>
    <font>
      <b/>
      <u/>
      <sz val="16"/>
      <color theme="1"/>
      <name val="Calibri"/>
      <family val="2"/>
      <scheme val="minor"/>
    </font>
    <font>
      <sz val="12"/>
      <color theme="2" tint="-0.499984740745262"/>
      <name val="Calibri"/>
      <family val="2"/>
      <scheme val="minor"/>
    </font>
    <font>
      <sz val="12"/>
      <color theme="1" tint="0.499984740745262"/>
      <name val="Calibri"/>
      <family val="2"/>
      <scheme val="minor"/>
    </font>
    <font>
      <sz val="12"/>
      <color theme="0" tint="-0.14999847407452621"/>
      <name val="Calibri"/>
      <family val="2"/>
      <scheme val="minor"/>
    </font>
    <font>
      <b/>
      <sz val="10"/>
      <color theme="1"/>
      <name val="Arial"/>
      <family val="2"/>
    </font>
    <font>
      <sz val="18"/>
      <color theme="1"/>
      <name val="Calibri"/>
      <family val="2"/>
      <scheme val="minor"/>
    </font>
    <font>
      <b/>
      <sz val="18"/>
      <color theme="1"/>
      <name val="Arial"/>
      <family val="2"/>
    </font>
    <font>
      <sz val="18"/>
      <color theme="1"/>
      <name val="Arial"/>
      <family val="2"/>
    </font>
    <font>
      <b/>
      <sz val="12"/>
      <color theme="1"/>
      <name val="Arial"/>
      <family val="2"/>
    </font>
    <font>
      <sz val="11"/>
      <color rgb="FFFF0000"/>
      <name val="Calibri"/>
      <family val="2"/>
      <scheme val="minor"/>
    </font>
    <font>
      <sz val="7"/>
      <color theme="1"/>
      <name val="Times New Roman"/>
      <family val="1"/>
    </font>
    <font>
      <sz val="11"/>
      <color theme="1"/>
      <name val="Courier New"/>
      <family val="3"/>
    </font>
    <font>
      <sz val="11"/>
      <color rgb="FFFFFFFF"/>
      <name val="Courier New"/>
      <family val="3"/>
    </font>
    <font>
      <sz val="12"/>
      <color theme="1"/>
      <name val="Calibri"/>
      <family val="2"/>
    </font>
    <font>
      <sz val="12"/>
      <color theme="9"/>
      <name val="Calibri"/>
      <family val="2"/>
      <scheme val="minor"/>
    </font>
    <font>
      <sz val="12"/>
      <color theme="1"/>
      <name val="Aptos Narrow"/>
      <family val="2"/>
    </font>
    <font>
      <vertAlign val="subscript"/>
      <sz val="12"/>
      <color theme="1"/>
      <name val="Calibri"/>
      <family val="2"/>
      <scheme val="minor"/>
    </font>
    <font>
      <b/>
      <vertAlign val="subscript"/>
      <sz val="12"/>
      <color theme="1"/>
      <name val="Calibri"/>
      <family val="2"/>
      <scheme val="minor"/>
    </font>
    <font>
      <sz val="11"/>
      <name val="Calibri"/>
      <family val="2"/>
      <scheme val="minor"/>
    </font>
    <font>
      <i/>
      <sz val="10"/>
      <color rgb="FFFF0000"/>
      <name val="Arial"/>
      <family val="2"/>
    </font>
    <font>
      <sz val="14"/>
      <color theme="1"/>
      <name val="Calibri"/>
      <family val="2"/>
      <scheme val="minor"/>
    </font>
    <font>
      <sz val="8"/>
      <color theme="1"/>
      <name val="Calibri"/>
      <family val="2"/>
      <scheme val="minor"/>
    </font>
    <font>
      <sz val="28"/>
      <color theme="1"/>
      <name val="Arial"/>
      <family val="2"/>
    </font>
    <font>
      <sz val="12"/>
      <color theme="1"/>
      <name val="Arial"/>
      <family val="2"/>
    </font>
    <font>
      <b/>
      <sz val="9"/>
      <name val="Tahoma"/>
    </font>
    <font>
      <u/>
      <sz val="9"/>
      <name val="Trebuchet MS"/>
      <family val="2"/>
    </font>
    <font>
      <i/>
      <u/>
      <sz val="9"/>
      <name val="Verdana"/>
      <family val="2"/>
    </font>
    <font>
      <sz val="10"/>
      <color rgb="FF000000"/>
      <name val="Times New Roman"/>
      <family val="1"/>
    </font>
    <font>
      <sz val="10"/>
      <color theme="2"/>
      <name val="Times New Roman"/>
      <family val="1"/>
    </font>
    <font>
      <u/>
      <sz val="10"/>
      <color rgb="FF000000"/>
      <name val="Times New Roman"/>
      <family val="1"/>
    </font>
    <font>
      <sz val="9"/>
      <name val="Trebuchet MS"/>
    </font>
    <font>
      <i/>
      <sz val="9"/>
      <name val="Verdana"/>
    </font>
    <font>
      <sz val="9"/>
      <color rgb="FF231F20"/>
      <name val="Trebuchet MS"/>
      <family val="2"/>
    </font>
    <font>
      <i/>
      <sz val="9"/>
      <color rgb="FF231F20"/>
      <name val="Verdana"/>
      <family val="2"/>
    </font>
    <font>
      <vertAlign val="superscript"/>
      <sz val="9"/>
      <color rgb="FF231F20"/>
      <name val="Trebuchet MS"/>
      <family val="2"/>
    </font>
    <font>
      <sz val="10"/>
      <name val="Times New Roman"/>
      <family val="1"/>
    </font>
    <font>
      <b/>
      <sz val="9"/>
      <name val="Tahoma"/>
      <family val="2"/>
    </font>
    <font>
      <i/>
      <vertAlign val="superscript"/>
      <sz val="9"/>
      <color rgb="FF231F20"/>
      <name val="Verdana"/>
      <family val="2"/>
    </font>
    <font>
      <i/>
      <sz val="6"/>
      <color rgb="FF231F20"/>
      <name val="Verdana"/>
      <family val="2"/>
    </font>
    <font>
      <sz val="6"/>
      <color rgb="FF231F20"/>
      <name val="Trebuchet MS"/>
      <family val="2"/>
    </font>
    <font>
      <i/>
      <vertAlign val="superscript"/>
      <sz val="9"/>
      <color rgb="FF231F20"/>
      <name val="Arial Narrow"/>
      <family val="2"/>
    </font>
    <font>
      <sz val="9"/>
      <color rgb="FF231F20"/>
      <name val="Arial Narrow"/>
      <family val="2"/>
    </font>
    <font>
      <i/>
      <sz val="9"/>
      <color rgb="FF231F20"/>
      <name val="Arial Narrow"/>
      <family val="2"/>
    </font>
    <font>
      <sz val="9"/>
      <name val="Trebuchet MS"/>
      <family val="2"/>
    </font>
    <font>
      <sz val="10"/>
      <color rgb="FF000000"/>
      <name val="Times New Roman"/>
      <charset val="204"/>
    </font>
    <font>
      <sz val="9"/>
      <color rgb="FF231F20"/>
      <name val="Lucida Sans Unicode"/>
      <family val="2"/>
    </font>
    <font>
      <i/>
      <vertAlign val="subscript"/>
      <sz val="6"/>
      <color rgb="FF231F20"/>
      <name val="Verdana"/>
      <family val="2"/>
    </font>
    <font>
      <u/>
      <sz val="9"/>
      <color rgb="FF231F20"/>
      <name val="Trebuchet MS"/>
      <family val="2"/>
    </font>
    <font>
      <i/>
      <u/>
      <sz val="9"/>
      <color rgb="FF231F20"/>
      <name val="Verdana"/>
      <family val="2"/>
    </font>
    <font>
      <i/>
      <sz val="9"/>
      <name val="Arial Narrow"/>
    </font>
    <font>
      <vertAlign val="subscript"/>
      <sz val="6"/>
      <color rgb="FF231F20"/>
      <name val="Trebuchet MS"/>
      <family val="2"/>
    </font>
    <font>
      <b/>
      <sz val="9"/>
      <color rgb="FF231F20"/>
      <name val="Tahoma"/>
      <family val="2"/>
    </font>
    <font>
      <sz val="9"/>
      <color rgb="FF231F20"/>
      <name val="Times New Roman"/>
      <family val="2"/>
      <charset val="204"/>
    </font>
    <font>
      <b/>
      <u/>
      <sz val="12"/>
      <color rgb="FF000000"/>
      <name val="Times New Roman"/>
      <family val="1"/>
    </font>
  </fonts>
  <fills count="48">
    <fill>
      <patternFill patternType="none"/>
    </fill>
    <fill>
      <patternFill patternType="gray125"/>
    </fill>
    <fill>
      <patternFill patternType="solid">
        <fgColor rgb="FFFFCC99"/>
      </patternFill>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indexed="42"/>
        <bgColor indexed="64"/>
      </patternFill>
    </fill>
    <fill>
      <patternFill patternType="solid">
        <fgColor indexed="22"/>
        <bgColor indexed="8"/>
      </patternFill>
    </fill>
    <fill>
      <patternFill patternType="solid">
        <fgColor theme="0" tint="-0.249977111117893"/>
        <bgColor indexed="64"/>
      </patternFill>
    </fill>
    <fill>
      <patternFill patternType="solid">
        <fgColor indexed="42"/>
        <bgColor indexed="8"/>
      </patternFill>
    </fill>
    <fill>
      <patternFill patternType="solid">
        <fgColor rgb="FFCCFFCC"/>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2"/>
        <bgColor indexed="64"/>
      </patternFill>
    </fill>
    <fill>
      <patternFill patternType="solid">
        <fgColor theme="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8"/>
      </patternFill>
    </fill>
    <fill>
      <patternFill patternType="solid">
        <fgColor rgb="FFFFFFFF"/>
        <bgColor indexed="64"/>
      </patternFill>
    </fill>
    <fill>
      <patternFill patternType="solid">
        <fgColor rgb="FFFFFFFF"/>
        <bgColor indexed="8"/>
      </patternFill>
    </fill>
    <fill>
      <patternFill patternType="solid">
        <fgColor theme="7"/>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CECFF"/>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darkUp">
        <fgColor rgb="FFFFFF00"/>
        <bgColor auto="1"/>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65">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indexed="55"/>
      </right>
      <top style="thin">
        <color theme="0" tint="-0.499984740745262"/>
      </top>
      <bottom/>
      <diagonal/>
    </border>
    <border>
      <left style="thin">
        <color indexed="55"/>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indexed="55"/>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55"/>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theme="0" tint="-0.499984740745262"/>
      </bottom>
      <diagonal/>
    </border>
    <border>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style="medium">
        <color indexed="64"/>
      </left>
      <right/>
      <top style="medium">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top/>
      <bottom style="double">
        <color indexed="64"/>
      </bottom>
      <diagonal/>
    </border>
    <border>
      <left/>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double">
        <color indexed="64"/>
      </bottom>
      <diagonal/>
    </border>
    <border>
      <left/>
      <right style="thin">
        <color theme="0" tint="-0.499984740745262"/>
      </right>
      <top style="thin">
        <color indexed="64"/>
      </top>
      <bottom style="thin">
        <color theme="0" tint="-0.49998474074526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right/>
      <top style="thin">
        <color auto="1"/>
      </top>
      <bottom/>
      <diagonal/>
    </border>
    <border>
      <left/>
      <right style="thin">
        <color indexed="55"/>
      </right>
      <top/>
      <bottom style="thin">
        <color theme="0" tint="-0.499984740745262"/>
      </bottom>
      <diagonal/>
    </border>
    <border>
      <left style="thin">
        <color indexed="64"/>
      </left>
      <right style="thin">
        <color indexed="64"/>
      </right>
      <top/>
      <bottom/>
      <diagonal/>
    </border>
    <border>
      <left/>
      <right style="thin">
        <color indexed="64"/>
      </right>
      <top/>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theme="2"/>
      </top>
      <bottom style="thin">
        <color theme="2"/>
      </bottom>
      <diagonal/>
    </border>
    <border>
      <left style="medium">
        <color indexed="64"/>
      </left>
      <right style="thin">
        <color auto="1"/>
      </right>
      <top style="medium">
        <color indexed="64"/>
      </top>
      <bottom style="thin">
        <color auto="1"/>
      </bottom>
      <diagonal/>
    </border>
    <border>
      <left/>
      <right style="thin">
        <color indexed="64"/>
      </right>
      <top style="thin">
        <color indexed="64"/>
      </top>
      <bottom style="double">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style="thin">
        <color indexed="64"/>
      </top>
      <bottom/>
      <diagonal/>
    </border>
    <border>
      <left/>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top style="thin">
        <color indexed="55"/>
      </top>
      <bottom/>
      <diagonal/>
    </border>
    <border>
      <left style="thin">
        <color theme="0" tint="-0.499984740745262"/>
      </left>
      <right style="thin">
        <color theme="0" tint="-0.499984740745262"/>
      </right>
      <top style="thin">
        <color indexed="55"/>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medium">
        <color auto="1"/>
      </left>
      <right style="thin">
        <color auto="1"/>
      </right>
      <top style="thin">
        <color auto="1"/>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theme="0" tint="-0.499984740745262"/>
      </right>
      <top style="thin">
        <color indexed="55"/>
      </top>
      <bottom style="thin">
        <color indexed="55"/>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thin">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thin">
        <color auto="1"/>
      </left>
      <right style="thin">
        <color auto="1"/>
      </right>
      <top/>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s>
  <cellStyleXfs count="156">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9" fillId="0" borderId="0"/>
    <xf numFmtId="164" fontId="15" fillId="0" borderId="0" applyFont="0" applyFill="0" applyBorder="0" applyAlignment="0" applyProtection="0"/>
    <xf numFmtId="49" fontId="29" fillId="0" borderId="1" applyNumberFormat="0" applyFont="0" applyFill="0" applyBorder="0" applyProtection="0">
      <alignment horizontal="left" vertical="center" indent="2"/>
    </xf>
    <xf numFmtId="49" fontId="29" fillId="0" borderId="24" applyNumberFormat="0" applyFont="0" applyFill="0" applyBorder="0" applyProtection="0">
      <alignment horizontal="left" vertical="center" indent="5"/>
    </xf>
    <xf numFmtId="0" fontId="30" fillId="13" borderId="0">
      <alignment horizontal="left" vertical="center"/>
    </xf>
    <xf numFmtId="0" fontId="31" fillId="14" borderId="0" applyBorder="0">
      <alignment horizontal="left" vertical="center" indent="1"/>
    </xf>
    <xf numFmtId="4" fontId="32" fillId="0" borderId="25" applyFill="0" applyBorder="0" applyProtection="0">
      <alignment horizontal="right" vertical="center"/>
    </xf>
    <xf numFmtId="172" fontId="33" fillId="0" borderId="0" applyFont="0" applyFill="0" applyBorder="0" applyAlignment="0" applyProtection="0"/>
    <xf numFmtId="173" fontId="33" fillId="0" borderId="0" applyFont="0" applyFill="0" applyBorder="0" applyAlignment="0" applyProtection="0"/>
    <xf numFmtId="0" fontId="34" fillId="0" borderId="0">
      <alignment vertical="center"/>
    </xf>
    <xf numFmtId="174" fontId="33" fillId="0" borderId="0" applyFont="0" applyFill="0" applyBorder="0" applyAlignment="0" applyProtection="0"/>
    <xf numFmtId="175" fontId="33" fillId="0" borderId="0" applyFont="0" applyFill="0" applyBorder="0" applyAlignment="0" applyProtection="0"/>
    <xf numFmtId="176" fontId="35" fillId="0" borderId="0"/>
    <xf numFmtId="0" fontId="30" fillId="15" borderId="0">
      <alignment horizontal="center" vertical="center" wrapText="1"/>
    </xf>
    <xf numFmtId="177" fontId="35" fillId="16" borderId="0">
      <alignment horizontal="center" vertical="center"/>
    </xf>
    <xf numFmtId="0" fontId="36" fillId="2" borderId="2" applyNumberFormat="0" applyAlignment="0" applyProtection="0"/>
    <xf numFmtId="178" fontId="37" fillId="0" borderId="0" applyFont="0" applyFill="0" applyBorder="0" applyAlignment="0" applyProtection="0">
      <alignment vertical="center"/>
    </xf>
    <xf numFmtId="179" fontId="38" fillId="17" borderId="26" applyBorder="0" applyAlignment="0">
      <alignment horizontal="left" vertical="center" indent="1"/>
    </xf>
    <xf numFmtId="179" fontId="39" fillId="18" borderId="27" applyBorder="0">
      <alignment horizontal="left" vertical="center" indent="1"/>
    </xf>
    <xf numFmtId="0" fontId="40" fillId="0" borderId="0" applyNumberFormat="0" applyFill="0" applyBorder="0" applyAlignment="0" applyProtection="0"/>
    <xf numFmtId="180" fontId="35" fillId="0" borderId="0"/>
    <xf numFmtId="164" fontId="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81" fontId="41" fillId="0" borderId="0"/>
    <xf numFmtId="0" fontId="30" fillId="16" borderId="0">
      <alignment horizontal="left" vertical="center"/>
    </xf>
    <xf numFmtId="182" fontId="41" fillId="0" borderId="0"/>
    <xf numFmtId="183" fontId="35" fillId="0" borderId="0"/>
    <xf numFmtId="184" fontId="41" fillId="0" borderId="0"/>
    <xf numFmtId="185" fontId="35" fillId="0" borderId="0" applyAlignment="0">
      <alignment wrapText="1"/>
    </xf>
    <xf numFmtId="186" fontId="35" fillId="0" borderId="0"/>
    <xf numFmtId="185" fontId="35" fillId="0" borderId="0"/>
    <xf numFmtId="4" fontId="29" fillId="0" borderId="1" applyFill="0" applyBorder="0" applyProtection="0">
      <alignment horizontal="right" vertical="center"/>
    </xf>
    <xf numFmtId="49" fontId="32" fillId="0" borderId="1" applyNumberFormat="0" applyFill="0" applyBorder="0" applyProtection="0">
      <alignment horizontal="left" vertical="center"/>
    </xf>
    <xf numFmtId="0" fontId="29" fillId="0" borderId="1" applyNumberFormat="0" applyFill="0" applyAlignment="0" applyProtection="0"/>
    <xf numFmtId="0" fontId="42" fillId="0" borderId="28" applyFont="0" applyFill="0" applyBorder="0" applyProtection="0">
      <alignment horizontal="center"/>
    </xf>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7" fontId="9" fillId="0" borderId="0"/>
    <xf numFmtId="188" fontId="9" fillId="6" borderId="0">
      <alignment horizontal="center" vertical="center"/>
    </xf>
    <xf numFmtId="11" fontId="42" fillId="0" borderId="0" applyFont="0" applyFill="0" applyBorder="0" applyAlignment="0" applyProtection="0"/>
    <xf numFmtId="0" fontId="9" fillId="0" borderId="0"/>
    <xf numFmtId="0" fontId="30" fillId="0" borderId="0">
      <alignment vertical="center"/>
    </xf>
    <xf numFmtId="0" fontId="9" fillId="0" borderId="0"/>
    <xf numFmtId="0" fontId="15" fillId="0" borderId="0"/>
    <xf numFmtId="0" fontId="15" fillId="0" borderId="0"/>
    <xf numFmtId="0" fontId="15" fillId="0" borderId="0"/>
    <xf numFmtId="0" fontId="15" fillId="0" borderId="0"/>
    <xf numFmtId="0" fontId="43" fillId="0" borderId="0"/>
    <xf numFmtId="189" fontId="35" fillId="0" borderId="0">
      <alignment horizontal="center" vertical="center"/>
    </xf>
    <xf numFmtId="0" fontId="44" fillId="19" borderId="0">
      <alignment vertical="center" wrapText="1"/>
    </xf>
    <xf numFmtId="0" fontId="45" fillId="3" borderId="0" applyBorder="0">
      <alignment horizontal="left" vertical="center" indent="1"/>
    </xf>
    <xf numFmtId="189" fontId="46" fillId="0" borderId="0">
      <alignment horizontal="center" vertical="center"/>
    </xf>
    <xf numFmtId="0" fontId="30" fillId="20" borderId="0">
      <alignment horizontal="left" vertical="center"/>
    </xf>
    <xf numFmtId="0" fontId="30" fillId="20" borderId="0">
      <alignment horizontal="left" vertical="center"/>
    </xf>
    <xf numFmtId="11" fontId="35" fillId="0" borderId="0"/>
    <xf numFmtId="11" fontId="37" fillId="0" borderId="0">
      <alignment horizontal="center" vertical="center" wrapText="1"/>
    </xf>
    <xf numFmtId="177" fontId="9" fillId="0" borderId="0">
      <alignment horizontal="center" vertical="center"/>
    </xf>
    <xf numFmtId="177" fontId="9" fillId="0" borderId="0">
      <alignment horizontal="center" vertical="center"/>
    </xf>
    <xf numFmtId="190" fontId="41" fillId="0" borderId="0">
      <alignment horizontal="center" vertical="center"/>
    </xf>
    <xf numFmtId="191" fontId="41" fillId="0" borderId="0"/>
    <xf numFmtId="164" fontId="9"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56" fillId="0" borderId="0" applyFont="0" applyFill="0" applyBorder="0" applyAlignment="0" applyProtection="0"/>
    <xf numFmtId="164" fontId="4" fillId="0" borderId="0" applyFont="0" applyFill="0" applyBorder="0" applyAlignment="0" applyProtection="0"/>
    <xf numFmtId="49" fontId="29" fillId="0" borderId="32" applyNumberFormat="0" applyFont="0" applyFill="0" applyBorder="0" applyProtection="0">
      <alignment horizontal="left" vertical="center" indent="2"/>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 fontId="29" fillId="0" borderId="32" applyFill="0" applyBorder="0" applyProtection="0">
      <alignment horizontal="right" vertical="center"/>
    </xf>
    <xf numFmtId="49" fontId="32" fillId="0" borderId="32" applyNumberFormat="0" applyFill="0" applyBorder="0" applyProtection="0">
      <alignment horizontal="left" vertical="center"/>
    </xf>
    <xf numFmtId="0" fontId="29" fillId="0" borderId="32"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43" fontId="56" fillId="0" borderId="0" applyFont="0" applyFill="0" applyBorder="0" applyAlignment="0" applyProtection="0"/>
    <xf numFmtId="0" fontId="9" fillId="0" borderId="0"/>
    <xf numFmtId="0" fontId="3" fillId="0" borderId="0"/>
    <xf numFmtId="0" fontId="121" fillId="0" borderId="0"/>
  </cellStyleXfs>
  <cellXfs count="2092">
    <xf numFmtId="0" fontId="0" fillId="0" borderId="0" xfId="0"/>
    <xf numFmtId="0" fontId="6" fillId="0" borderId="0" xfId="0" applyFont="1"/>
    <xf numFmtId="0" fontId="5" fillId="0" borderId="0" xfId="0" applyFont="1" applyAlignment="1">
      <alignment wrapText="1"/>
    </xf>
    <xf numFmtId="0" fontId="5" fillId="0" borderId="0" xfId="0" applyFont="1"/>
    <xf numFmtId="0" fontId="10" fillId="3" borderId="3" xfId="65" applyFont="1" applyFill="1" applyBorder="1" applyAlignment="1">
      <alignment horizontal="left" vertical="center"/>
    </xf>
    <xf numFmtId="0" fontId="11" fillId="3" borderId="4" xfId="65" applyFont="1" applyFill="1" applyBorder="1" applyAlignment="1">
      <alignment horizontal="left" vertical="center"/>
    </xf>
    <xf numFmtId="0" fontId="10" fillId="3" borderId="5" xfId="65" applyFont="1" applyFill="1" applyBorder="1" applyAlignment="1">
      <alignment horizontal="left" vertical="center"/>
    </xf>
    <xf numFmtId="0" fontId="11" fillId="3" borderId="5" xfId="65" applyFont="1" applyFill="1" applyBorder="1" applyAlignment="1">
      <alignment horizontal="left" vertical="center"/>
    </xf>
    <xf numFmtId="0" fontId="11" fillId="4" borderId="5" xfId="65" applyFont="1" applyFill="1" applyBorder="1" applyAlignment="1">
      <alignment horizontal="left" vertical="center"/>
    </xf>
    <xf numFmtId="0" fontId="11" fillId="4" borderId="5" xfId="65" applyFont="1" applyFill="1" applyBorder="1" applyAlignment="1">
      <alignment horizontal="center" vertical="center"/>
    </xf>
    <xf numFmtId="0" fontId="11" fillId="3" borderId="5" xfId="65" applyFont="1" applyFill="1" applyBorder="1" applyAlignment="1">
      <alignment horizontal="center" vertical="center"/>
    </xf>
    <xf numFmtId="0" fontId="10" fillId="5" borderId="0" xfId="65" applyFont="1" applyFill="1" applyAlignment="1">
      <alignment vertical="center"/>
    </xf>
    <xf numFmtId="0" fontId="9" fillId="5" borderId="11" xfId="65" applyFill="1" applyBorder="1" applyAlignment="1">
      <alignment vertical="center"/>
    </xf>
    <xf numFmtId="0" fontId="14" fillId="5" borderId="12" xfId="65" applyFont="1" applyFill="1" applyBorder="1" applyAlignment="1">
      <alignment vertical="center"/>
    </xf>
    <xf numFmtId="0" fontId="9" fillId="5" borderId="0" xfId="65" applyFill="1" applyAlignment="1">
      <alignment vertical="center"/>
    </xf>
    <xf numFmtId="164" fontId="9" fillId="5" borderId="0" xfId="67" applyFont="1" applyFill="1" applyBorder="1" applyAlignment="1">
      <alignment vertical="center"/>
    </xf>
    <xf numFmtId="166" fontId="9" fillId="5" borderId="0" xfId="65" applyNumberFormat="1" applyFill="1" applyAlignment="1">
      <alignment vertical="center"/>
    </xf>
    <xf numFmtId="0" fontId="14" fillId="5" borderId="13" xfId="65" applyFont="1" applyFill="1" applyBorder="1" applyAlignment="1">
      <alignment vertical="center" wrapText="1"/>
    </xf>
    <xf numFmtId="0" fontId="9" fillId="5" borderId="17" xfId="65" applyFill="1" applyBorder="1" applyAlignment="1">
      <alignment vertical="center"/>
    </xf>
    <xf numFmtId="0" fontId="21" fillId="6" borderId="13" xfId="65" applyFont="1" applyFill="1" applyBorder="1" applyAlignment="1">
      <alignment horizontal="center" vertical="center" wrapText="1"/>
    </xf>
    <xf numFmtId="0" fontId="18" fillId="6" borderId="13" xfId="65" applyFont="1" applyFill="1" applyBorder="1" applyAlignment="1">
      <alignment horizontal="center" vertical="center" wrapText="1"/>
    </xf>
    <xf numFmtId="0" fontId="21" fillId="5" borderId="13" xfId="65" applyFont="1" applyFill="1" applyBorder="1" applyAlignment="1">
      <alignment horizontal="center" vertical="center" wrapText="1"/>
    </xf>
    <xf numFmtId="0" fontId="18" fillId="5" borderId="13" xfId="65" applyFont="1" applyFill="1" applyBorder="1" applyAlignment="1">
      <alignment horizontal="center" vertical="center" wrapText="1"/>
    </xf>
    <xf numFmtId="0" fontId="18" fillId="5" borderId="17" xfId="65" applyFont="1" applyFill="1" applyBorder="1" applyAlignment="1">
      <alignment vertical="center"/>
    </xf>
    <xf numFmtId="0" fontId="18" fillId="6" borderId="17" xfId="65" applyFont="1" applyFill="1" applyBorder="1" applyAlignment="1">
      <alignment horizontal="center" vertical="center" wrapText="1"/>
    </xf>
    <xf numFmtId="0" fontId="18" fillId="5" borderId="0" xfId="65" applyFont="1" applyFill="1" applyAlignment="1">
      <alignment vertical="center"/>
    </xf>
    <xf numFmtId="0" fontId="18" fillId="5" borderId="19" xfId="65" applyFont="1" applyFill="1" applyBorder="1" applyAlignment="1">
      <alignment vertical="center"/>
    </xf>
    <xf numFmtId="0" fontId="20" fillId="5" borderId="19" xfId="65" applyFont="1" applyFill="1" applyBorder="1" applyAlignment="1">
      <alignment vertical="center" wrapText="1"/>
    </xf>
    <xf numFmtId="0" fontId="18" fillId="6" borderId="19" xfId="65" applyFont="1" applyFill="1" applyBorder="1" applyAlignment="1">
      <alignment horizontal="center" vertical="center" wrapText="1"/>
    </xf>
    <xf numFmtId="0" fontId="24" fillId="7" borderId="23" xfId="65" applyFont="1" applyFill="1" applyBorder="1" applyAlignment="1">
      <alignment vertical="center" wrapText="1"/>
    </xf>
    <xf numFmtId="0" fontId="26" fillId="5" borderId="23" xfId="65" applyFont="1" applyFill="1" applyBorder="1" applyAlignment="1">
      <alignment vertical="center" wrapText="1"/>
    </xf>
    <xf numFmtId="166" fontId="26" fillId="5" borderId="23" xfId="65" applyNumberFormat="1" applyFont="1" applyFill="1" applyBorder="1" applyAlignment="1">
      <alignment horizontal="center" vertical="center" wrapText="1"/>
    </xf>
    <xf numFmtId="0" fontId="26" fillId="5" borderId="23" xfId="65" applyFont="1" applyFill="1" applyBorder="1" applyAlignment="1">
      <alignment horizontal="center" vertical="center" wrapText="1"/>
    </xf>
    <xf numFmtId="3" fontId="24" fillId="9" borderId="23" xfId="65" applyNumberFormat="1" applyFont="1" applyFill="1" applyBorder="1" applyAlignment="1">
      <alignment horizontal="center" vertical="center" wrapText="1"/>
    </xf>
    <xf numFmtId="3" fontId="26" fillId="9" borderId="23" xfId="65" applyNumberFormat="1" applyFont="1" applyFill="1" applyBorder="1" applyAlignment="1">
      <alignment horizontal="center" vertical="center" wrapText="1"/>
    </xf>
    <xf numFmtId="1" fontId="24" fillId="0" borderId="23" xfId="65" applyNumberFormat="1" applyFont="1" applyBorder="1" applyAlignment="1">
      <alignment horizontal="center" vertical="center" wrapText="1"/>
    </xf>
    <xf numFmtId="1" fontId="26" fillId="0" borderId="23" xfId="65" applyNumberFormat="1" applyFont="1" applyBorder="1" applyAlignment="1">
      <alignment horizontal="center" vertical="center" wrapText="1"/>
    </xf>
    <xf numFmtId="0" fontId="26" fillId="5" borderId="0" xfId="65" applyFont="1" applyFill="1" applyAlignment="1">
      <alignment vertical="center"/>
    </xf>
    <xf numFmtId="1" fontId="24" fillId="5" borderId="23" xfId="65" applyNumberFormat="1" applyFont="1" applyFill="1" applyBorder="1" applyAlignment="1">
      <alignment horizontal="center" vertical="center" wrapText="1"/>
    </xf>
    <xf numFmtId="1" fontId="26" fillId="5" borderId="23" xfId="65" applyNumberFormat="1" applyFont="1" applyFill="1" applyBorder="1" applyAlignment="1">
      <alignment horizontal="center" vertical="center" wrapText="1"/>
    </xf>
    <xf numFmtId="168" fontId="14" fillId="7" borderId="23" xfId="65" applyNumberFormat="1" applyFont="1" applyFill="1" applyBorder="1" applyAlignment="1">
      <alignment vertical="center" wrapText="1"/>
    </xf>
    <xf numFmtId="0" fontId="14" fillId="7" borderId="23" xfId="65" applyFont="1" applyFill="1" applyBorder="1" applyAlignment="1">
      <alignment vertical="center" wrapText="1"/>
    </xf>
    <xf numFmtId="0" fontId="14" fillId="8" borderId="23" xfId="65" applyFont="1" applyFill="1" applyBorder="1" applyAlignment="1">
      <alignment horizontal="center" vertical="center" wrapText="1"/>
    </xf>
    <xf numFmtId="0" fontId="28" fillId="7" borderId="23" xfId="65" applyFont="1" applyFill="1" applyBorder="1" applyAlignment="1">
      <alignment vertical="center" wrapText="1"/>
    </xf>
    <xf numFmtId="169" fontId="9" fillId="5" borderId="23" xfId="65" applyNumberFormat="1" applyFill="1" applyBorder="1" applyAlignment="1">
      <alignment vertical="center"/>
    </xf>
    <xf numFmtId="0" fontId="9" fillId="5" borderId="23" xfId="65" applyFill="1" applyBorder="1" applyAlignment="1">
      <alignment vertical="center" wrapText="1"/>
    </xf>
    <xf numFmtId="3" fontId="26" fillId="5" borderId="23" xfId="65" applyNumberFormat="1" applyFont="1" applyFill="1" applyBorder="1" applyAlignment="1">
      <alignment horizontal="center" vertical="center" wrapText="1"/>
    </xf>
    <xf numFmtId="0" fontId="9" fillId="5" borderId="23" xfId="65" applyFill="1" applyBorder="1" applyAlignment="1">
      <alignment horizontal="center" vertical="center" wrapText="1"/>
    </xf>
    <xf numFmtId="165" fontId="24" fillId="9" borderId="23" xfId="65" applyNumberFormat="1" applyFont="1" applyFill="1" applyBorder="1" applyAlignment="1">
      <alignment horizontal="center" vertical="center" wrapText="1"/>
    </xf>
    <xf numFmtId="165" fontId="26" fillId="9" borderId="23" xfId="65" applyNumberFormat="1" applyFont="1" applyFill="1" applyBorder="1" applyAlignment="1">
      <alignment horizontal="center" vertical="center" wrapText="1"/>
    </xf>
    <xf numFmtId="166" fontId="24" fillId="5" borderId="23" xfId="65" applyNumberFormat="1" applyFont="1" applyFill="1" applyBorder="1" applyAlignment="1">
      <alignment horizontal="center" vertical="center" wrapText="1"/>
    </xf>
    <xf numFmtId="170" fontId="24" fillId="5" borderId="23" xfId="65" applyNumberFormat="1" applyFont="1" applyFill="1" applyBorder="1" applyAlignment="1">
      <alignment horizontal="center" vertical="center" wrapText="1"/>
    </xf>
    <xf numFmtId="170" fontId="26" fillId="5" borderId="23" xfId="65" applyNumberFormat="1" applyFont="1" applyFill="1" applyBorder="1" applyAlignment="1">
      <alignment horizontal="center" vertical="center" wrapText="1"/>
    </xf>
    <xf numFmtId="171" fontId="26" fillId="5" borderId="23" xfId="65" applyNumberFormat="1" applyFont="1" applyFill="1" applyBorder="1" applyAlignment="1">
      <alignment horizontal="center" vertical="center" wrapText="1"/>
    </xf>
    <xf numFmtId="1" fontId="24" fillId="9" borderId="23" xfId="65" applyNumberFormat="1" applyFont="1" applyFill="1" applyBorder="1" applyAlignment="1">
      <alignment horizontal="center" vertical="center" wrapText="1"/>
    </xf>
    <xf numFmtId="1" fontId="26" fillId="9" borderId="23" xfId="65" applyNumberFormat="1" applyFont="1" applyFill="1" applyBorder="1" applyAlignment="1">
      <alignment horizontal="center" vertical="center" wrapText="1"/>
    </xf>
    <xf numFmtId="169" fontId="26" fillId="5" borderId="23" xfId="65" applyNumberFormat="1" applyFont="1" applyFill="1" applyBorder="1" applyAlignment="1">
      <alignment horizontal="left" vertical="center"/>
    </xf>
    <xf numFmtId="165" fontId="24" fillId="10" borderId="23" xfId="65" applyNumberFormat="1" applyFont="1" applyFill="1" applyBorder="1" applyAlignment="1">
      <alignment horizontal="center" vertical="center" wrapText="1"/>
    </xf>
    <xf numFmtId="165" fontId="26" fillId="10" borderId="23" xfId="65" applyNumberFormat="1" applyFont="1" applyFill="1" applyBorder="1" applyAlignment="1">
      <alignment horizontal="center" vertical="center" wrapText="1"/>
    </xf>
    <xf numFmtId="169" fontId="26" fillId="5" borderId="23" xfId="65" quotePrefix="1" applyNumberFormat="1" applyFont="1" applyFill="1" applyBorder="1" applyAlignment="1">
      <alignment horizontal="left" vertical="center"/>
    </xf>
    <xf numFmtId="0" fontId="26" fillId="11" borderId="23" xfId="65" applyFont="1" applyFill="1" applyBorder="1" applyAlignment="1">
      <alignment vertical="center" wrapText="1"/>
    </xf>
    <xf numFmtId="169" fontId="26" fillId="11" borderId="23" xfId="65" applyNumberFormat="1" applyFont="1" applyFill="1" applyBorder="1" applyAlignment="1">
      <alignment vertical="center"/>
    </xf>
    <xf numFmtId="3" fontId="26" fillId="11" borderId="23" xfId="65" applyNumberFormat="1" applyFont="1" applyFill="1" applyBorder="1" applyAlignment="1">
      <alignment horizontal="center" vertical="center" wrapText="1"/>
    </xf>
    <xf numFmtId="0" fontId="26" fillId="11" borderId="23" xfId="65" applyFont="1" applyFill="1" applyBorder="1" applyAlignment="1">
      <alignment horizontal="center" vertical="center" wrapText="1"/>
    </xf>
    <xf numFmtId="3" fontId="24" fillId="12" borderId="23" xfId="65" applyNumberFormat="1" applyFont="1" applyFill="1" applyBorder="1" applyAlignment="1">
      <alignment horizontal="center" vertical="center" wrapText="1"/>
    </xf>
    <xf numFmtId="3" fontId="26" fillId="12" borderId="23" xfId="65" applyNumberFormat="1" applyFont="1" applyFill="1" applyBorder="1" applyAlignment="1">
      <alignment horizontal="center" vertical="center" wrapText="1"/>
    </xf>
    <xf numFmtId="165" fontId="24" fillId="11" borderId="23" xfId="65" applyNumberFormat="1" applyFont="1" applyFill="1" applyBorder="1" applyAlignment="1">
      <alignment horizontal="center" vertical="center" wrapText="1"/>
    </xf>
    <xf numFmtId="165" fontId="26" fillId="11" borderId="23" xfId="65" applyNumberFormat="1" applyFont="1" applyFill="1" applyBorder="1" applyAlignment="1">
      <alignment horizontal="center" vertical="center" wrapText="1"/>
    </xf>
    <xf numFmtId="166" fontId="26" fillId="11" borderId="23" xfId="65" applyNumberFormat="1" applyFont="1" applyFill="1" applyBorder="1" applyAlignment="1">
      <alignment horizontal="center" vertical="center" wrapText="1"/>
    </xf>
    <xf numFmtId="2" fontId="24" fillId="11" borderId="23" xfId="65" applyNumberFormat="1" applyFont="1" applyFill="1" applyBorder="1" applyAlignment="1">
      <alignment horizontal="center" vertical="center" wrapText="1"/>
    </xf>
    <xf numFmtId="2" fontId="26" fillId="11" borderId="23" xfId="65" applyNumberFormat="1" applyFont="1" applyFill="1" applyBorder="1" applyAlignment="1">
      <alignment horizontal="center" vertical="center" wrapText="1"/>
    </xf>
    <xf numFmtId="3" fontId="9" fillId="5" borderId="23" xfId="65" applyNumberFormat="1" applyFill="1" applyBorder="1" applyAlignment="1">
      <alignment horizontal="center" vertical="center" wrapText="1"/>
    </xf>
    <xf numFmtId="2" fontId="24" fillId="5" borderId="23" xfId="65" applyNumberFormat="1" applyFont="1" applyFill="1" applyBorder="1" applyAlignment="1">
      <alignment horizontal="center" vertical="center" wrapText="1"/>
    </xf>
    <xf numFmtId="2" fontId="26" fillId="5" borderId="23" xfId="65" applyNumberFormat="1" applyFont="1" applyFill="1" applyBorder="1" applyAlignment="1">
      <alignment horizontal="center" vertical="center" wrapText="1"/>
    </xf>
    <xf numFmtId="1" fontId="9" fillId="9" borderId="23" xfId="65" applyNumberFormat="1" applyFill="1" applyBorder="1" applyAlignment="1">
      <alignment horizontal="center" vertical="center" wrapText="1"/>
    </xf>
    <xf numFmtId="165" fontId="9" fillId="9" borderId="23" xfId="65" applyNumberFormat="1" applyFill="1" applyBorder="1" applyAlignment="1">
      <alignment horizontal="center" vertical="center" wrapText="1"/>
    </xf>
    <xf numFmtId="2" fontId="14" fillId="5" borderId="23" xfId="65" applyNumberFormat="1" applyFont="1" applyFill="1" applyBorder="1" applyAlignment="1">
      <alignment horizontal="center" vertical="center" wrapText="1"/>
    </xf>
    <xf numFmtId="2" fontId="9" fillId="5" borderId="23" xfId="65" applyNumberFormat="1" applyFill="1" applyBorder="1" applyAlignment="1">
      <alignment horizontal="center" vertical="center" wrapText="1"/>
    </xf>
    <xf numFmtId="166" fontId="9" fillId="5" borderId="23" xfId="65" applyNumberFormat="1" applyFill="1" applyBorder="1" applyAlignment="1">
      <alignment horizontal="center" vertical="center" wrapText="1"/>
    </xf>
    <xf numFmtId="166" fontId="14" fillId="5" borderId="23" xfId="65" applyNumberFormat="1" applyFont="1" applyFill="1" applyBorder="1" applyAlignment="1">
      <alignment horizontal="center" vertical="center" wrapText="1"/>
    </xf>
    <xf numFmtId="171" fontId="9" fillId="5" borderId="23" xfId="65" applyNumberFormat="1" applyFill="1" applyBorder="1" applyAlignment="1">
      <alignment horizontal="center" vertical="center" wrapText="1"/>
    </xf>
    <xf numFmtId="165" fontId="14" fillId="5" borderId="23" xfId="65" applyNumberFormat="1" applyFont="1" applyFill="1" applyBorder="1" applyAlignment="1">
      <alignment horizontal="center" vertical="center" wrapText="1"/>
    </xf>
    <xf numFmtId="165" fontId="9" fillId="5" borderId="23" xfId="65" applyNumberFormat="1" applyFill="1" applyBorder="1" applyAlignment="1">
      <alignment horizontal="center" vertical="center" wrapText="1"/>
    </xf>
    <xf numFmtId="170" fontId="9" fillId="5" borderId="23" xfId="65" applyNumberFormat="1" applyFill="1" applyBorder="1" applyAlignment="1">
      <alignment horizontal="center" vertical="center" wrapText="1"/>
    </xf>
    <xf numFmtId="3" fontId="14" fillId="9" borderId="23" xfId="65" applyNumberFormat="1" applyFont="1" applyFill="1" applyBorder="1" applyAlignment="1">
      <alignment horizontal="center" vertical="center" wrapText="1"/>
    </xf>
    <xf numFmtId="3" fontId="9" fillId="9" borderId="23" xfId="65" applyNumberFormat="1" applyFill="1" applyBorder="1" applyAlignment="1">
      <alignment horizontal="center" vertical="center" wrapText="1"/>
    </xf>
    <xf numFmtId="165" fontId="24" fillId="5" borderId="23" xfId="65" applyNumberFormat="1" applyFont="1" applyFill="1" applyBorder="1" applyAlignment="1">
      <alignment horizontal="center" vertical="center" wrapText="1"/>
    </xf>
    <xf numFmtId="165" fontId="26" fillId="5" borderId="23" xfId="65" applyNumberFormat="1" applyFont="1" applyFill="1" applyBorder="1" applyAlignment="1">
      <alignment horizontal="center" vertical="center" wrapText="1"/>
    </xf>
    <xf numFmtId="169" fontId="26" fillId="5" borderId="23" xfId="65" applyNumberFormat="1" applyFont="1" applyFill="1" applyBorder="1" applyAlignment="1">
      <alignment vertical="center"/>
    </xf>
    <xf numFmtId="1" fontId="9" fillId="5" borderId="23" xfId="65" applyNumberFormat="1" applyFill="1" applyBorder="1" applyAlignment="1">
      <alignment horizontal="center" vertical="center" wrapText="1"/>
    </xf>
    <xf numFmtId="1" fontId="14" fillId="5" borderId="23" xfId="65" applyNumberFormat="1" applyFont="1" applyFill="1" applyBorder="1" applyAlignment="1">
      <alignment horizontal="center" vertical="center" wrapText="1"/>
    </xf>
    <xf numFmtId="3" fontId="24" fillId="5" borderId="23" xfId="65" applyNumberFormat="1" applyFont="1" applyFill="1" applyBorder="1" applyAlignment="1">
      <alignment horizontal="center" vertical="center" wrapText="1"/>
    </xf>
    <xf numFmtId="167" fontId="26" fillId="5" borderId="23" xfId="65" applyNumberFormat="1" applyFont="1" applyFill="1" applyBorder="1" applyAlignment="1">
      <alignment horizontal="center" vertical="center" wrapText="1"/>
    </xf>
    <xf numFmtId="0" fontId="26" fillId="9" borderId="23" xfId="65" applyFont="1" applyFill="1" applyBorder="1" applyAlignment="1">
      <alignment horizontal="center" vertical="center" wrapText="1"/>
    </xf>
    <xf numFmtId="0" fontId="9" fillId="11" borderId="23" xfId="65" applyFill="1" applyBorder="1" applyAlignment="1">
      <alignment vertical="center" wrapText="1"/>
    </xf>
    <xf numFmtId="169" fontId="9" fillId="11" borderId="23" xfId="65" applyNumberFormat="1" applyFill="1" applyBorder="1" applyAlignment="1">
      <alignment vertical="center"/>
    </xf>
    <xf numFmtId="3" fontId="9" fillId="11" borderId="23" xfId="65" applyNumberFormat="1" applyFill="1" applyBorder="1" applyAlignment="1">
      <alignment horizontal="center" vertical="center" wrapText="1"/>
    </xf>
    <xf numFmtId="0" fontId="9" fillId="11" borderId="23" xfId="65" applyFill="1" applyBorder="1" applyAlignment="1">
      <alignment horizontal="center" vertical="center" wrapText="1"/>
    </xf>
    <xf numFmtId="3" fontId="14" fillId="12" borderId="23" xfId="65" applyNumberFormat="1" applyFont="1" applyFill="1" applyBorder="1" applyAlignment="1">
      <alignment horizontal="center" vertical="center" wrapText="1"/>
    </xf>
    <xf numFmtId="3" fontId="9" fillId="12" borderId="23" xfId="65" applyNumberFormat="1" applyFill="1" applyBorder="1" applyAlignment="1">
      <alignment horizontal="center" vertical="center" wrapText="1"/>
    </xf>
    <xf numFmtId="165" fontId="14" fillId="11" borderId="23" xfId="65" applyNumberFormat="1" applyFont="1" applyFill="1" applyBorder="1" applyAlignment="1">
      <alignment horizontal="center" vertical="center" wrapText="1"/>
    </xf>
    <xf numFmtId="165" fontId="9" fillId="11" borderId="23" xfId="65" applyNumberFormat="1" applyFill="1" applyBorder="1" applyAlignment="1">
      <alignment horizontal="center" vertical="center" wrapText="1"/>
    </xf>
    <xf numFmtId="166" fontId="9" fillId="11" borderId="23" xfId="65" applyNumberFormat="1" applyFill="1" applyBorder="1" applyAlignment="1">
      <alignment horizontal="center" vertical="center" wrapText="1"/>
    </xf>
    <xf numFmtId="2" fontId="14" fillId="11" borderId="23" xfId="65" applyNumberFormat="1" applyFont="1" applyFill="1" applyBorder="1" applyAlignment="1">
      <alignment horizontal="center" vertical="center" wrapText="1"/>
    </xf>
    <xf numFmtId="2" fontId="9" fillId="11" borderId="23" xfId="65" applyNumberFormat="1" applyFill="1" applyBorder="1" applyAlignment="1">
      <alignment horizontal="center" vertical="center" wrapText="1"/>
    </xf>
    <xf numFmtId="165" fontId="26" fillId="12" borderId="23" xfId="65" applyNumberFormat="1" applyFont="1" applyFill="1" applyBorder="1" applyAlignment="1">
      <alignment horizontal="center" vertical="center" wrapText="1"/>
    </xf>
    <xf numFmtId="170" fontId="26" fillId="11" borderId="23" xfId="65" applyNumberFormat="1" applyFont="1" applyFill="1" applyBorder="1" applyAlignment="1">
      <alignment horizontal="center" vertical="center" wrapText="1"/>
    </xf>
    <xf numFmtId="1" fontId="26" fillId="11" borderId="23" xfId="65" applyNumberFormat="1" applyFont="1" applyFill="1" applyBorder="1" applyAlignment="1">
      <alignment horizontal="center" vertical="center" wrapText="1"/>
    </xf>
    <xf numFmtId="1" fontId="9" fillId="12" borderId="23" xfId="65" applyNumberFormat="1" applyFill="1" applyBorder="1" applyAlignment="1">
      <alignment horizontal="center" vertical="center" wrapText="1"/>
    </xf>
    <xf numFmtId="0" fontId="9" fillId="5" borderId="23" xfId="65" applyFill="1" applyBorder="1" applyAlignment="1">
      <alignment horizontal="left" vertical="center" wrapText="1"/>
    </xf>
    <xf numFmtId="1" fontId="24" fillId="12" borderId="23" xfId="65" applyNumberFormat="1" applyFont="1" applyFill="1" applyBorder="1" applyAlignment="1">
      <alignment horizontal="center" vertical="center" wrapText="1"/>
    </xf>
    <xf numFmtId="166" fontId="24" fillId="11" borderId="23" xfId="65" applyNumberFormat="1" applyFont="1" applyFill="1" applyBorder="1" applyAlignment="1">
      <alignment horizontal="center" vertical="center" wrapText="1"/>
    </xf>
    <xf numFmtId="0" fontId="9" fillId="5" borderId="0" xfId="65" applyFill="1"/>
    <xf numFmtId="0" fontId="14" fillId="5" borderId="0" xfId="65" applyFont="1" applyFill="1"/>
    <xf numFmtId="0" fontId="14" fillId="5" borderId="0" xfId="65" applyFont="1" applyFill="1" applyAlignment="1">
      <alignment horizontal="center"/>
    </xf>
    <xf numFmtId="0" fontId="14" fillId="5" borderId="13" xfId="65" applyFont="1" applyFill="1" applyBorder="1" applyAlignment="1">
      <alignment wrapText="1"/>
    </xf>
    <xf numFmtId="0" fontId="20" fillId="5" borderId="17" xfId="65" applyFont="1" applyFill="1" applyBorder="1" applyAlignment="1">
      <alignment vertical="center" wrapText="1"/>
    </xf>
    <xf numFmtId="0" fontId="20" fillId="5" borderId="19" xfId="65" applyFont="1" applyFill="1" applyBorder="1" applyAlignment="1">
      <alignment vertical="top" wrapText="1"/>
    </xf>
    <xf numFmtId="168" fontId="14" fillId="7" borderId="23" xfId="111" quotePrefix="1" applyNumberFormat="1" applyFont="1" applyFill="1" applyBorder="1" applyAlignment="1">
      <alignment vertical="center" wrapText="1"/>
    </xf>
    <xf numFmtId="168" fontId="14" fillId="7" borderId="23" xfId="111" applyNumberFormat="1" applyFont="1" applyFill="1" applyBorder="1" applyAlignment="1">
      <alignment vertical="center" wrapText="1"/>
    </xf>
    <xf numFmtId="0" fontId="14" fillId="7" borderId="23" xfId="111" applyFont="1" applyFill="1" applyBorder="1" applyAlignment="1">
      <alignment vertical="center" wrapText="1"/>
    </xf>
    <xf numFmtId="169" fontId="9" fillId="5" borderId="23" xfId="111" applyNumberFormat="1" applyFill="1" applyBorder="1" applyAlignment="1">
      <alignment vertical="center"/>
    </xf>
    <xf numFmtId="0" fontId="9" fillId="5" borderId="23" xfId="111" applyFill="1" applyBorder="1" applyAlignment="1">
      <alignment vertical="center" wrapText="1"/>
    </xf>
    <xf numFmtId="0" fontId="9" fillId="5" borderId="23" xfId="111" applyFill="1" applyBorder="1" applyAlignment="1">
      <alignment horizontal="center" vertical="center" wrapText="1"/>
    </xf>
    <xf numFmtId="169" fontId="9" fillId="5" borderId="23" xfId="111" quotePrefix="1" applyNumberFormat="1" applyFill="1" applyBorder="1" applyAlignment="1">
      <alignment vertical="center"/>
    </xf>
    <xf numFmtId="0" fontId="6" fillId="0" borderId="0" xfId="0" applyFont="1" applyAlignment="1">
      <alignment wrapText="1"/>
    </xf>
    <xf numFmtId="2" fontId="5" fillId="0" borderId="0" xfId="0" applyNumberFormat="1" applyFont="1"/>
    <xf numFmtId="0" fontId="10" fillId="3" borderId="3" xfId="65" applyFont="1" applyFill="1" applyBorder="1" applyAlignment="1">
      <alignment horizontal="left"/>
    </xf>
    <xf numFmtId="0" fontId="12" fillId="3" borderId="20" xfId="65" applyFont="1" applyFill="1" applyBorder="1"/>
    <xf numFmtId="0" fontId="9" fillId="5" borderId="17" xfId="65" applyFill="1" applyBorder="1"/>
    <xf numFmtId="0" fontId="14" fillId="7" borderId="23" xfId="111" quotePrefix="1" applyFont="1" applyFill="1" applyBorder="1" applyAlignment="1">
      <alignment vertical="center" wrapText="1"/>
    </xf>
    <xf numFmtId="169" fontId="26" fillId="5" borderId="23" xfId="111" quotePrefix="1" applyNumberFormat="1" applyFont="1" applyFill="1" applyBorder="1" applyAlignment="1">
      <alignment vertical="center"/>
    </xf>
    <xf numFmtId="0" fontId="6" fillId="21" borderId="0" xfId="0" applyFont="1" applyFill="1"/>
    <xf numFmtId="0" fontId="6" fillId="21" borderId="0" xfId="0" applyFont="1" applyFill="1" applyAlignment="1">
      <alignment wrapText="1"/>
    </xf>
    <xf numFmtId="0" fontId="5" fillId="21" borderId="0" xfId="0" applyFont="1" applyFill="1"/>
    <xf numFmtId="169" fontId="9" fillId="5" borderId="0" xfId="111" applyNumberFormat="1" applyFill="1" applyAlignment="1">
      <alignment vertical="center"/>
    </xf>
    <xf numFmtId="169" fontId="52" fillId="5" borderId="0" xfId="111" applyNumberFormat="1" applyFont="1" applyFill="1" applyAlignment="1">
      <alignment vertical="center"/>
    </xf>
    <xf numFmtId="0" fontId="5" fillId="0" borderId="34" xfId="0" applyFont="1" applyBorder="1"/>
    <xf numFmtId="0" fontId="51" fillId="0" borderId="0" xfId="0" applyFont="1"/>
    <xf numFmtId="3" fontId="24" fillId="9" borderId="23" xfId="111" applyNumberFormat="1" applyFont="1" applyFill="1" applyBorder="1" applyAlignment="1">
      <alignment horizontal="center" vertical="center" wrapText="1"/>
    </xf>
    <xf numFmtId="3" fontId="26" fillId="9" borderId="23" xfId="111" applyNumberFormat="1" applyFont="1" applyFill="1" applyBorder="1" applyAlignment="1">
      <alignment horizontal="center" vertical="center" wrapText="1"/>
    </xf>
    <xf numFmtId="0" fontId="22" fillId="5" borderId="13" xfId="65" applyFont="1" applyFill="1" applyBorder="1" applyAlignment="1">
      <alignment horizontal="center" vertical="center" wrapText="1"/>
    </xf>
    <xf numFmtId="0" fontId="18" fillId="5" borderId="17" xfId="65" applyFont="1" applyFill="1" applyBorder="1" applyAlignment="1">
      <alignment horizontal="center" vertical="center" wrapText="1"/>
    </xf>
    <xf numFmtId="3" fontId="22" fillId="5" borderId="19" xfId="0" applyNumberFormat="1" applyFont="1" applyFill="1" applyBorder="1" applyAlignment="1">
      <alignment horizontal="center" vertical="center" wrapText="1"/>
    </xf>
    <xf numFmtId="0" fontId="22" fillId="5" borderId="17" xfId="65" applyFont="1" applyFill="1" applyBorder="1" applyAlignment="1">
      <alignment horizontal="center" vertical="center" wrapText="1"/>
    </xf>
    <xf numFmtId="0" fontId="19" fillId="5" borderId="6" xfId="65" applyFont="1" applyFill="1" applyBorder="1" applyAlignment="1">
      <alignment horizontal="center" vertical="center" wrapText="1"/>
    </xf>
    <xf numFmtId="0" fontId="26" fillId="5" borderId="12" xfId="65" applyFont="1" applyFill="1" applyBorder="1" applyAlignment="1">
      <alignment horizontal="center" vertical="center" wrapText="1"/>
    </xf>
    <xf numFmtId="0" fontId="19" fillId="5" borderId="12" xfId="65" applyFont="1" applyFill="1" applyBorder="1" applyAlignment="1">
      <alignment horizontal="center" vertical="center" wrapText="1"/>
    </xf>
    <xf numFmtId="167" fontId="22" fillId="5" borderId="19" xfId="0" applyNumberFormat="1" applyFont="1" applyFill="1" applyBorder="1" applyAlignment="1">
      <alignment horizontal="center" vertical="center" wrapText="1"/>
    </xf>
    <xf numFmtId="0" fontId="5" fillId="0" borderId="38" xfId="0" applyFont="1" applyBorder="1"/>
    <xf numFmtId="165" fontId="5" fillId="0" borderId="0" xfId="0" applyNumberFormat="1" applyFont="1"/>
    <xf numFmtId="0" fontId="0" fillId="25" borderId="0" xfId="0" applyFill="1"/>
    <xf numFmtId="0" fontId="0" fillId="25" borderId="44" xfId="0" applyFill="1" applyBorder="1"/>
    <xf numFmtId="0" fontId="0" fillId="25" borderId="45" xfId="0" applyFill="1" applyBorder="1"/>
    <xf numFmtId="0" fontId="0" fillId="25" borderId="46" xfId="0" applyFill="1" applyBorder="1"/>
    <xf numFmtId="0" fontId="0" fillId="25" borderId="49" xfId="0" applyFill="1" applyBorder="1"/>
    <xf numFmtId="0" fontId="0" fillId="0" borderId="46" xfId="0" applyBorder="1"/>
    <xf numFmtId="0" fontId="58" fillId="25" borderId="45" xfId="0" applyFont="1" applyFill="1" applyBorder="1"/>
    <xf numFmtId="1" fontId="0" fillId="0" borderId="0" xfId="0" applyNumberFormat="1"/>
    <xf numFmtId="0" fontId="5" fillId="5" borderId="0" xfId="0" applyFont="1" applyFill="1"/>
    <xf numFmtId="0" fontId="5" fillId="24" borderId="33" xfId="0" applyFont="1" applyFill="1" applyBorder="1"/>
    <xf numFmtId="0" fontId="5" fillId="24" borderId="61" xfId="0" applyFont="1" applyFill="1" applyBorder="1" applyAlignment="1">
      <alignment wrapText="1"/>
    </xf>
    <xf numFmtId="0" fontId="5" fillId="24" borderId="61" xfId="0" applyFont="1" applyFill="1" applyBorder="1"/>
    <xf numFmtId="0" fontId="5" fillId="5" borderId="61" xfId="0" applyFont="1" applyFill="1" applyBorder="1"/>
    <xf numFmtId="0" fontId="5" fillId="25" borderId="61" xfId="0" applyFont="1" applyFill="1" applyBorder="1"/>
    <xf numFmtId="0" fontId="5" fillId="0" borderId="61" xfId="0" applyFont="1" applyBorder="1" applyAlignment="1">
      <alignment wrapText="1"/>
    </xf>
    <xf numFmtId="0" fontId="5" fillId="0" borderId="61" xfId="0" applyFont="1" applyBorder="1"/>
    <xf numFmtId="2" fontId="5" fillId="0" borderId="61" xfId="0" applyNumberFormat="1" applyFont="1" applyBorder="1"/>
    <xf numFmtId="0" fontId="61" fillId="25" borderId="45" xfId="0" applyFont="1" applyFill="1" applyBorder="1"/>
    <xf numFmtId="0" fontId="58" fillId="25" borderId="47" xfId="0" applyFont="1" applyFill="1" applyBorder="1"/>
    <xf numFmtId="0" fontId="58" fillId="25" borderId="67" xfId="0" applyFont="1" applyFill="1" applyBorder="1"/>
    <xf numFmtId="0" fontId="0" fillId="0" borderId="48" xfId="0" applyBorder="1"/>
    <xf numFmtId="0" fontId="0" fillId="0" borderId="49" xfId="0" applyBorder="1"/>
    <xf numFmtId="0" fontId="59" fillId="0" borderId="0" xfId="0" applyFont="1"/>
    <xf numFmtId="0" fontId="0" fillId="0" borderId="43" xfId="0" applyBorder="1"/>
    <xf numFmtId="0" fontId="0" fillId="0" borderId="44" xfId="0" applyBorder="1"/>
    <xf numFmtId="2" fontId="0" fillId="0" borderId="61" xfId="0" applyNumberFormat="1" applyBorder="1"/>
    <xf numFmtId="0" fontId="10" fillId="3" borderId="16" xfId="0" applyFont="1" applyFill="1" applyBorder="1" applyAlignment="1">
      <alignment horizontal="left" vertical="center"/>
    </xf>
    <xf numFmtId="0" fontId="10" fillId="3" borderId="5" xfId="0"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center" vertical="center"/>
    </xf>
    <xf numFmtId="3" fontId="11" fillId="3" borderId="5" xfId="0" applyNumberFormat="1" applyFont="1" applyFill="1" applyBorder="1" applyAlignment="1">
      <alignment horizontal="center" vertical="center"/>
    </xf>
    <xf numFmtId="0" fontId="11" fillId="3" borderId="69" xfId="0" applyFont="1" applyFill="1" applyBorder="1" applyAlignment="1">
      <alignment horizontal="center" vertical="center"/>
    </xf>
    <xf numFmtId="0" fontId="11" fillId="3" borderId="6" xfId="0" applyFont="1" applyFill="1" applyBorder="1" applyAlignment="1">
      <alignment horizontal="right" vertical="center"/>
    </xf>
    <xf numFmtId="0" fontId="10" fillId="5" borderId="0" xfId="0" applyFont="1" applyFill="1" applyAlignment="1">
      <alignment vertical="center"/>
    </xf>
    <xf numFmtId="0" fontId="12" fillId="3" borderId="70" xfId="0" applyFont="1" applyFill="1" applyBorder="1" applyAlignment="1">
      <alignment vertical="center"/>
    </xf>
    <xf numFmtId="0" fontId="12" fillId="3" borderId="71" xfId="0" applyFont="1" applyFill="1" applyBorder="1" applyAlignment="1">
      <alignment vertical="center"/>
    </xf>
    <xf numFmtId="0" fontId="12" fillId="3" borderId="73" xfId="0" applyFont="1" applyFill="1" applyBorder="1" applyAlignment="1">
      <alignment vertical="center"/>
    </xf>
    <xf numFmtId="0" fontId="13" fillId="3" borderId="74" xfId="0" applyFont="1" applyFill="1" applyBorder="1" applyAlignment="1">
      <alignment horizontal="right" vertical="center"/>
    </xf>
    <xf numFmtId="0" fontId="12" fillId="5" borderId="0" xfId="0" applyFont="1" applyFill="1" applyAlignment="1">
      <alignment vertical="center"/>
    </xf>
    <xf numFmtId="0" fontId="9" fillId="5" borderId="0" xfId="0" applyFont="1" applyFill="1" applyAlignment="1">
      <alignment vertical="center"/>
    </xf>
    <xf numFmtId="0" fontId="37" fillId="5" borderId="0" xfId="0" applyFont="1" applyFill="1" applyAlignment="1">
      <alignment vertical="center" wrapText="1"/>
    </xf>
    <xf numFmtId="0" fontId="37" fillId="5" borderId="0" xfId="0" applyFont="1" applyFill="1" applyAlignment="1">
      <alignment horizontal="center" vertical="center" wrapText="1"/>
    </xf>
    <xf numFmtId="0" fontId="17" fillId="10" borderId="13"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9" fillId="5" borderId="13" xfId="0" applyFont="1" applyFill="1" applyBorder="1" applyAlignment="1">
      <alignment vertical="center"/>
    </xf>
    <xf numFmtId="0" fontId="17" fillId="10" borderId="17"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7" fillId="5" borderId="17" xfId="0" applyFont="1" applyFill="1" applyBorder="1" applyAlignment="1">
      <alignment vertical="center" wrapText="1"/>
    </xf>
    <xf numFmtId="0" fontId="9" fillId="5" borderId="19" xfId="65" applyFill="1" applyBorder="1" applyAlignment="1">
      <alignment vertical="center"/>
    </xf>
    <xf numFmtId="0" fontId="20" fillId="5" borderId="19" xfId="0" applyFont="1" applyFill="1" applyBorder="1" applyAlignment="1">
      <alignment vertical="center" wrapText="1"/>
    </xf>
    <xf numFmtId="0" fontId="20" fillId="5" borderId="19" xfId="0" applyFont="1" applyFill="1" applyBorder="1" applyAlignment="1">
      <alignment horizontal="center" vertical="center" wrapText="1"/>
    </xf>
    <xf numFmtId="0" fontId="17" fillId="5" borderId="19" xfId="0" applyFont="1" applyFill="1" applyBorder="1" applyAlignment="1">
      <alignment horizontal="center" vertical="center" wrapText="1"/>
    </xf>
    <xf numFmtId="167" fontId="18" fillId="10" borderId="19" xfId="0" applyNumberFormat="1" applyFont="1" applyFill="1" applyBorder="1" applyAlignment="1">
      <alignment horizontal="center" vertical="center" wrapText="1"/>
    </xf>
    <xf numFmtId="3" fontId="18" fillId="5" borderId="19" xfId="0" applyNumberFormat="1" applyFont="1" applyFill="1" applyBorder="1" applyAlignment="1">
      <alignment horizontal="center" vertical="center" wrapText="1"/>
    </xf>
    <xf numFmtId="167" fontId="18" fillId="5" borderId="19" xfId="0" applyNumberFormat="1" applyFont="1" applyFill="1" applyBorder="1" applyAlignment="1">
      <alignment horizontal="center" vertical="center" wrapText="1"/>
    </xf>
    <xf numFmtId="0" fontId="18" fillId="5" borderId="19" xfId="0" applyFont="1" applyFill="1" applyBorder="1" applyAlignment="1">
      <alignment vertical="center"/>
    </xf>
    <xf numFmtId="0" fontId="16" fillId="5" borderId="19" xfId="0" applyFont="1" applyFill="1" applyBorder="1" applyAlignment="1">
      <alignment horizontal="left" vertical="center" wrapText="1"/>
    </xf>
    <xf numFmtId="0" fontId="18" fillId="5" borderId="0" xfId="0" applyFont="1" applyFill="1" applyAlignment="1">
      <alignment vertical="center"/>
    </xf>
    <xf numFmtId="0" fontId="14" fillId="18" borderId="23" xfId="0" applyFont="1" applyFill="1" applyBorder="1" applyAlignment="1">
      <alignment vertical="center"/>
    </xf>
    <xf numFmtId="0" fontId="14" fillId="18" borderId="23" xfId="0" applyFont="1" applyFill="1" applyBorder="1" applyAlignment="1">
      <alignment horizontal="center" vertical="center"/>
    </xf>
    <xf numFmtId="0" fontId="28" fillId="18" borderId="23" xfId="0" applyFont="1" applyFill="1" applyBorder="1" applyAlignment="1">
      <alignment vertical="center"/>
    </xf>
    <xf numFmtId="0" fontId="28" fillId="18" borderId="23" xfId="0" applyFont="1" applyFill="1" applyBorder="1" applyAlignment="1">
      <alignment horizontal="center" vertical="center"/>
    </xf>
    <xf numFmtId="0" fontId="14" fillId="18" borderId="23" xfId="0" applyFont="1" applyFill="1" applyBorder="1" applyAlignment="1">
      <alignment horizontal="left" vertical="center"/>
    </xf>
    <xf numFmtId="0" fontId="9" fillId="5" borderId="0" xfId="0" applyFont="1" applyFill="1" applyAlignment="1">
      <alignment horizontal="right" vertical="center"/>
    </xf>
    <xf numFmtId="0" fontId="26" fillId="5" borderId="23" xfId="111" quotePrefix="1" applyFont="1" applyFill="1" applyBorder="1" applyAlignment="1">
      <alignment horizontal="left" vertical="center" wrapText="1"/>
    </xf>
    <xf numFmtId="0" fontId="9" fillId="5" borderId="23" xfId="0" applyFont="1" applyFill="1" applyBorder="1" applyAlignment="1">
      <alignment vertical="center"/>
    </xf>
    <xf numFmtId="0" fontId="9" fillId="5" borderId="23" xfId="0" applyFont="1" applyFill="1" applyBorder="1" applyAlignment="1">
      <alignment horizontal="center" vertical="center"/>
    </xf>
    <xf numFmtId="166" fontId="14" fillId="6" borderId="23" xfId="0" applyNumberFormat="1" applyFont="1" applyFill="1" applyBorder="1" applyAlignment="1">
      <alignment horizontal="center" vertical="center"/>
    </xf>
    <xf numFmtId="2" fontId="14" fillId="5" borderId="23" xfId="0" applyNumberFormat="1" applyFont="1" applyFill="1" applyBorder="1" applyAlignment="1">
      <alignment horizontal="center" vertical="center"/>
    </xf>
    <xf numFmtId="0" fontId="9" fillId="5" borderId="23" xfId="0" applyFont="1" applyFill="1" applyBorder="1" applyAlignment="1">
      <alignment horizontal="center" vertical="center" shrinkToFit="1"/>
    </xf>
    <xf numFmtId="0" fontId="9" fillId="5" borderId="23" xfId="0" applyFont="1" applyFill="1" applyBorder="1" applyAlignment="1">
      <alignment horizontal="left" vertical="center"/>
    </xf>
    <xf numFmtId="166" fontId="24" fillId="6" borderId="23" xfId="0" applyNumberFormat="1" applyFont="1" applyFill="1" applyBorder="1" applyAlignment="1">
      <alignment horizontal="center" vertical="center"/>
    </xf>
    <xf numFmtId="2" fontId="24" fillId="5" borderId="23" xfId="0" applyNumberFormat="1" applyFont="1" applyFill="1" applyBorder="1" applyAlignment="1">
      <alignment horizontal="center" vertical="center"/>
    </xf>
    <xf numFmtId="169" fontId="26" fillId="5" borderId="23" xfId="111" applyNumberFormat="1" applyFont="1" applyFill="1" applyBorder="1" applyAlignment="1">
      <alignment vertical="center"/>
    </xf>
    <xf numFmtId="0" fontId="9" fillId="18" borderId="23" xfId="0" applyFont="1" applyFill="1" applyBorder="1" applyAlignment="1">
      <alignment horizontal="center" vertical="center"/>
    </xf>
    <xf numFmtId="2" fontId="14" fillId="8" borderId="23" xfId="0" applyNumberFormat="1" applyFont="1" applyFill="1" applyBorder="1" applyAlignment="1">
      <alignment horizontal="center" vertical="center"/>
    </xf>
    <xf numFmtId="0" fontId="14" fillId="18" borderId="23" xfId="0" applyFont="1" applyFill="1" applyBorder="1" applyAlignment="1">
      <alignment horizontal="center" vertical="center" shrinkToFit="1"/>
    </xf>
    <xf numFmtId="0" fontId="26" fillId="5" borderId="23" xfId="0" applyFont="1" applyFill="1" applyBorder="1" applyAlignment="1">
      <alignment vertical="center"/>
    </xf>
    <xf numFmtId="0" fontId="26" fillId="5" borderId="23" xfId="0" applyFont="1" applyFill="1" applyBorder="1" applyAlignment="1">
      <alignment horizontal="center" vertical="center"/>
    </xf>
    <xf numFmtId="0" fontId="26" fillId="5" borderId="23" xfId="0" applyFont="1" applyFill="1" applyBorder="1" applyAlignment="1">
      <alignment horizontal="center" vertical="center" shrinkToFit="1"/>
    </xf>
    <xf numFmtId="0" fontId="26" fillId="5" borderId="23" xfId="0" applyFont="1" applyFill="1" applyBorder="1" applyAlignment="1">
      <alignment horizontal="left" vertical="center"/>
    </xf>
    <xf numFmtId="0" fontId="22" fillId="5" borderId="0" xfId="0" applyFont="1" applyFill="1" applyAlignment="1">
      <alignment vertical="center"/>
    </xf>
    <xf numFmtId="0" fontId="26" fillId="5" borderId="0" xfId="0" applyFont="1" applyFill="1" applyAlignment="1">
      <alignment vertical="center"/>
    </xf>
    <xf numFmtId="0" fontId="9" fillId="0" borderId="23" xfId="0" applyFont="1" applyBorder="1" applyAlignment="1">
      <alignment vertical="center"/>
    </xf>
    <xf numFmtId="0" fontId="63" fillId="18" borderId="23" xfId="0" applyFont="1" applyFill="1" applyBorder="1" applyAlignment="1">
      <alignment horizontal="center" vertical="center"/>
    </xf>
    <xf numFmtId="0" fontId="63" fillId="18" borderId="23" xfId="0" applyFont="1" applyFill="1" applyBorder="1" applyAlignment="1">
      <alignment horizontal="center" vertical="center" shrinkToFit="1"/>
    </xf>
    <xf numFmtId="0" fontId="26" fillId="5" borderId="23" xfId="0" applyFont="1" applyFill="1" applyBorder="1" applyAlignment="1">
      <alignment vertical="center" wrapText="1"/>
    </xf>
    <xf numFmtId="0" fontId="9" fillId="5" borderId="23" xfId="0" applyFont="1" applyFill="1" applyBorder="1" applyAlignment="1">
      <alignment horizontal="left" vertical="center" shrinkToFit="1"/>
    </xf>
    <xf numFmtId="0" fontId="65" fillId="5" borderId="23" xfId="0" applyFont="1" applyFill="1" applyBorder="1" applyAlignment="1">
      <alignment vertical="center" wrapText="1"/>
    </xf>
    <xf numFmtId="49" fontId="9" fillId="5" borderId="23" xfId="111" applyNumberFormat="1" applyFill="1" applyBorder="1" applyAlignment="1">
      <alignment vertical="center"/>
    </xf>
    <xf numFmtId="169" fontId="26" fillId="5" borderId="13" xfId="111" applyNumberFormat="1" applyFont="1" applyFill="1" applyBorder="1" applyAlignment="1">
      <alignment vertical="center"/>
    </xf>
    <xf numFmtId="0" fontId="26" fillId="5" borderId="13" xfId="0" applyFont="1" applyFill="1" applyBorder="1" applyAlignment="1">
      <alignment vertical="center"/>
    </xf>
    <xf numFmtId="0" fontId="26" fillId="5" borderId="13" xfId="0" applyFont="1" applyFill="1" applyBorder="1" applyAlignment="1">
      <alignment horizontal="center" vertical="center"/>
    </xf>
    <xf numFmtId="0" fontId="26" fillId="5" borderId="13" xfId="0" applyFont="1" applyFill="1" applyBorder="1" applyAlignment="1">
      <alignment horizontal="left" vertical="center"/>
    </xf>
    <xf numFmtId="0" fontId="17" fillId="5" borderId="0" xfId="0" applyFont="1" applyFill="1" applyAlignment="1">
      <alignment horizontal="center" vertical="center" wrapText="1"/>
    </xf>
    <xf numFmtId="0" fontId="9" fillId="5" borderId="0" xfId="0" applyFont="1" applyFill="1"/>
    <xf numFmtId="0" fontId="14" fillId="5" borderId="0" xfId="0" applyFont="1" applyFill="1"/>
    <xf numFmtId="0" fontId="14" fillId="5" borderId="0" xfId="0" applyFont="1" applyFill="1" applyAlignment="1">
      <alignment horizontal="center"/>
    </xf>
    <xf numFmtId="4" fontId="0" fillId="0" borderId="61" xfId="0" applyNumberFormat="1" applyBorder="1" applyAlignment="1">
      <alignment horizontal="right" vertical="center"/>
    </xf>
    <xf numFmtId="2" fontId="0" fillId="0" borderId="0" xfId="0" applyNumberFormat="1"/>
    <xf numFmtId="0" fontId="0" fillId="0" borderId="42" xfId="0" applyBorder="1"/>
    <xf numFmtId="0" fontId="0" fillId="0" borderId="45" xfId="0" applyBorder="1"/>
    <xf numFmtId="0" fontId="0" fillId="0" borderId="47" xfId="0" applyBorder="1"/>
    <xf numFmtId="165" fontId="0" fillId="0" borderId="0" xfId="0" applyNumberFormat="1"/>
    <xf numFmtId="0" fontId="5" fillId="25" borderId="54" xfId="0" applyFont="1" applyFill="1" applyBorder="1"/>
    <xf numFmtId="0" fontId="0" fillId="5" borderId="0" xfId="0" applyFill="1"/>
    <xf numFmtId="2" fontId="5" fillId="5" borderId="61" xfId="0" applyNumberFormat="1" applyFont="1" applyFill="1" applyBorder="1"/>
    <xf numFmtId="1" fontId="5" fillId="5" borderId="0" xfId="0" applyNumberFormat="1" applyFont="1" applyFill="1"/>
    <xf numFmtId="0" fontId="0" fillId="5" borderId="61" xfId="0" applyFill="1" applyBorder="1"/>
    <xf numFmtId="1" fontId="5" fillId="5" borderId="61" xfId="0" applyNumberFormat="1" applyFont="1" applyFill="1" applyBorder="1"/>
    <xf numFmtId="0" fontId="5" fillId="5" borderId="63" xfId="0" applyFont="1" applyFill="1" applyBorder="1"/>
    <xf numFmtId="0" fontId="0" fillId="24" borderId="61" xfId="0" applyFill="1" applyBorder="1"/>
    <xf numFmtId="1" fontId="5" fillId="24" borderId="61" xfId="0" applyNumberFormat="1" applyFont="1" applyFill="1" applyBorder="1"/>
    <xf numFmtId="0" fontId="57" fillId="5" borderId="0" xfId="0" applyFont="1" applyFill="1"/>
    <xf numFmtId="0" fontId="5" fillId="5" borderId="34" xfId="0" applyFont="1" applyFill="1" applyBorder="1"/>
    <xf numFmtId="0" fontId="5" fillId="24" borderId="25" xfId="0" applyFont="1" applyFill="1" applyBorder="1"/>
    <xf numFmtId="0" fontId="5" fillId="5" borderId="25" xfId="0" applyFont="1" applyFill="1" applyBorder="1"/>
    <xf numFmtId="1" fontId="5" fillId="25" borderId="61" xfId="0" applyNumberFormat="1" applyFont="1" applyFill="1" applyBorder="1"/>
    <xf numFmtId="0" fontId="0" fillId="25" borderId="61" xfId="0" applyFill="1" applyBorder="1"/>
    <xf numFmtId="9" fontId="0" fillId="0" borderId="0" xfId="0" applyNumberFormat="1"/>
    <xf numFmtId="166" fontId="0" fillId="0" borderId="0" xfId="0" applyNumberFormat="1"/>
    <xf numFmtId="3" fontId="0" fillId="0" borderId="0" xfId="0" applyNumberFormat="1"/>
    <xf numFmtId="165" fontId="0" fillId="0" borderId="46" xfId="0" applyNumberFormat="1" applyBorder="1"/>
    <xf numFmtId="9" fontId="0" fillId="0" borderId="0" xfId="134" applyFont="1" applyFill="1"/>
    <xf numFmtId="0" fontId="0" fillId="0" borderId="50" xfId="0" applyBorder="1"/>
    <xf numFmtId="0" fontId="0" fillId="0" borderId="51" xfId="0" applyBorder="1"/>
    <xf numFmtId="49" fontId="5" fillId="0" borderId="61" xfId="0" applyNumberFormat="1" applyFont="1" applyBorder="1"/>
    <xf numFmtId="2" fontId="0" fillId="5" borderId="0" xfId="0" applyNumberFormat="1" applyFill="1"/>
    <xf numFmtId="49" fontId="5" fillId="5" borderId="61" xfId="0" applyNumberFormat="1" applyFont="1" applyFill="1" applyBorder="1"/>
    <xf numFmtId="9" fontId="5" fillId="5" borderId="61" xfId="0" applyNumberFormat="1" applyFont="1" applyFill="1" applyBorder="1"/>
    <xf numFmtId="1" fontId="0" fillId="5" borderId="61" xfId="0" applyNumberFormat="1" applyFill="1" applyBorder="1"/>
    <xf numFmtId="165" fontId="0" fillId="0" borderId="48" xfId="0" applyNumberFormat="1" applyBorder="1"/>
    <xf numFmtId="2" fontId="0" fillId="0" borderId="42" xfId="0" applyNumberFormat="1" applyBorder="1"/>
    <xf numFmtId="0" fontId="0" fillId="0" borderId="52" xfId="0" applyBorder="1"/>
    <xf numFmtId="9" fontId="0" fillId="0" borderId="60" xfId="0" applyNumberFormat="1" applyBorder="1"/>
    <xf numFmtId="0" fontId="61" fillId="0" borderId="0" xfId="0" applyFont="1"/>
    <xf numFmtId="0" fontId="58" fillId="0" borderId="42" xfId="0" applyFont="1" applyBorder="1"/>
    <xf numFmtId="0" fontId="0" fillId="0" borderId="81" xfId="0" applyBorder="1"/>
    <xf numFmtId="0" fontId="0" fillId="0" borderId="82" xfId="0" applyBorder="1"/>
    <xf numFmtId="0" fontId="0" fillId="0" borderId="83" xfId="0" applyBorder="1"/>
    <xf numFmtId="0" fontId="58" fillId="0" borderId="43" xfId="0" applyFont="1" applyBorder="1"/>
    <xf numFmtId="0" fontId="0" fillId="0" borderId="24" xfId="0" applyBorder="1" applyAlignment="1">
      <alignment vertical="center"/>
    </xf>
    <xf numFmtId="0" fontId="0" fillId="0" borderId="79" xfId="0" applyBorder="1"/>
    <xf numFmtId="0" fontId="58" fillId="0" borderId="45" xfId="0" applyFont="1" applyBorder="1"/>
    <xf numFmtId="0" fontId="5" fillId="25" borderId="61" xfId="0" applyFont="1" applyFill="1" applyBorder="1" applyAlignment="1">
      <alignment wrapText="1"/>
    </xf>
    <xf numFmtId="168" fontId="14" fillId="7" borderId="23" xfId="111" quotePrefix="1" applyNumberFormat="1" applyFont="1" applyFill="1" applyBorder="1" applyAlignment="1">
      <alignment horizontal="left" vertical="center" wrapText="1"/>
    </xf>
    <xf numFmtId="0" fontId="28" fillId="7" borderId="23" xfId="111" applyFont="1" applyFill="1" applyBorder="1" applyAlignment="1">
      <alignment vertical="center" wrapText="1"/>
    </xf>
    <xf numFmtId="165" fontId="14" fillId="7" borderId="23" xfId="111" applyNumberFormat="1" applyFont="1" applyFill="1" applyBorder="1" applyAlignment="1">
      <alignment horizontal="center" vertical="center" wrapText="1"/>
    </xf>
    <xf numFmtId="0" fontId="9" fillId="7" borderId="23" xfId="111" applyFill="1" applyBorder="1" applyAlignment="1">
      <alignment horizontal="center" vertical="center" wrapText="1"/>
    </xf>
    <xf numFmtId="166" fontId="9" fillId="7" borderId="23" xfId="111" applyNumberFormat="1" applyFill="1" applyBorder="1" applyAlignment="1">
      <alignment horizontal="center" vertical="center" wrapText="1"/>
    </xf>
    <xf numFmtId="0" fontId="14" fillId="7" borderId="23" xfId="111" applyFont="1" applyFill="1" applyBorder="1" applyAlignment="1">
      <alignment horizontal="center" vertical="center" wrapText="1"/>
    </xf>
    <xf numFmtId="0" fontId="14" fillId="7" borderId="23" xfId="65" applyFont="1" applyFill="1" applyBorder="1" applyAlignment="1">
      <alignment horizontal="left" vertical="center" wrapText="1"/>
    </xf>
    <xf numFmtId="0" fontId="9" fillId="5" borderId="0" xfId="111" applyFill="1" applyAlignment="1">
      <alignment vertical="center"/>
    </xf>
    <xf numFmtId="0" fontId="9" fillId="5" borderId="23" xfId="111" quotePrefix="1" applyFill="1" applyBorder="1" applyAlignment="1">
      <alignment horizontal="left" vertical="center" wrapText="1"/>
    </xf>
    <xf numFmtId="1" fontId="9" fillId="0" borderId="23" xfId="65" applyNumberFormat="1" applyBorder="1" applyAlignment="1">
      <alignment horizontal="center" vertical="center" wrapText="1"/>
    </xf>
    <xf numFmtId="1" fontId="26" fillId="0" borderId="23" xfId="111" applyNumberFormat="1" applyFont="1" applyBorder="1" applyAlignment="1">
      <alignment horizontal="center" vertical="center" wrapText="1"/>
    </xf>
    <xf numFmtId="0" fontId="9" fillId="0" borderId="23" xfId="65" applyBorder="1" applyAlignment="1">
      <alignment horizontal="left" vertical="center" wrapText="1"/>
    </xf>
    <xf numFmtId="11" fontId="9" fillId="5" borderId="23" xfId="0" applyNumberFormat="1" applyFont="1" applyFill="1" applyBorder="1" applyAlignment="1">
      <alignment horizontal="center" vertical="center" wrapText="1"/>
    </xf>
    <xf numFmtId="0" fontId="14" fillId="26" borderId="23" xfId="65" applyFont="1" applyFill="1" applyBorder="1" applyAlignment="1">
      <alignment vertical="center" wrapText="1"/>
    </xf>
    <xf numFmtId="1" fontId="26" fillId="8" borderId="23" xfId="111" applyNumberFormat="1" applyFont="1" applyFill="1" applyBorder="1" applyAlignment="1">
      <alignment horizontal="center" vertical="center" wrapText="1"/>
    </xf>
    <xf numFmtId="0" fontId="18" fillId="5" borderId="0" xfId="111" applyFont="1" applyFill="1" applyAlignment="1">
      <alignment vertical="center"/>
    </xf>
    <xf numFmtId="165" fontId="9" fillId="10" borderId="23" xfId="65" applyNumberFormat="1" applyFill="1" applyBorder="1" applyAlignment="1">
      <alignment horizontal="center" vertical="center" wrapText="1"/>
    </xf>
    <xf numFmtId="169" fontId="9" fillId="5" borderId="23" xfId="65" quotePrefix="1" applyNumberFormat="1" applyFill="1" applyBorder="1" applyAlignment="1">
      <alignment vertical="center"/>
    </xf>
    <xf numFmtId="165" fontId="14" fillId="10" borderId="23" xfId="65" applyNumberFormat="1" applyFont="1" applyFill="1" applyBorder="1" applyAlignment="1">
      <alignment horizontal="center" vertical="center" wrapText="1"/>
    </xf>
    <xf numFmtId="195" fontId="26" fillId="0" borderId="23" xfId="152" applyNumberFormat="1" applyFont="1" applyFill="1" applyBorder="1" applyAlignment="1">
      <alignment horizontal="center" vertical="center" wrapText="1"/>
    </xf>
    <xf numFmtId="169" fontId="9" fillId="11" borderId="23" xfId="111" quotePrefix="1" applyNumberFormat="1" applyFill="1" applyBorder="1" applyAlignment="1">
      <alignment horizontal="left" vertical="center"/>
    </xf>
    <xf numFmtId="1" fontId="9" fillId="11" borderId="23" xfId="65" applyNumberFormat="1" applyFill="1" applyBorder="1" applyAlignment="1">
      <alignment horizontal="center" vertical="center" wrapText="1"/>
    </xf>
    <xf numFmtId="196" fontId="26" fillId="11" borderId="23" xfId="152" applyNumberFormat="1" applyFont="1" applyFill="1" applyBorder="1" applyAlignment="1">
      <alignment horizontal="center" vertical="center" wrapText="1"/>
    </xf>
    <xf numFmtId="2" fontId="26" fillId="11" borderId="23" xfId="111" applyNumberFormat="1" applyFont="1" applyFill="1" applyBorder="1" applyAlignment="1">
      <alignment horizontal="center" vertical="center" wrapText="1"/>
    </xf>
    <xf numFmtId="166" fontId="14" fillId="7" borderId="23" xfId="111" applyNumberFormat="1" applyFont="1" applyFill="1" applyBorder="1" applyAlignment="1">
      <alignment horizontal="center" vertical="center" wrapText="1"/>
    </xf>
    <xf numFmtId="169" fontId="9" fillId="5" borderId="23" xfId="111" applyNumberFormat="1" applyFill="1" applyBorder="1" applyAlignment="1">
      <alignment horizontal="left" vertical="center"/>
    </xf>
    <xf numFmtId="169" fontId="26" fillId="11" borderId="23" xfId="111" quotePrefix="1" applyNumberFormat="1" applyFont="1" applyFill="1" applyBorder="1" applyAlignment="1">
      <alignment horizontal="left" vertical="center"/>
    </xf>
    <xf numFmtId="0" fontId="26" fillId="5" borderId="0" xfId="111" applyFont="1" applyFill="1" applyAlignment="1">
      <alignment vertical="center"/>
    </xf>
    <xf numFmtId="0" fontId="26" fillId="0" borderId="0" xfId="111" applyFont="1" applyAlignment="1">
      <alignment vertical="center"/>
    </xf>
    <xf numFmtId="0" fontId="25" fillId="7" borderId="23" xfId="111" applyFont="1" applyFill="1" applyBorder="1" applyAlignment="1">
      <alignment vertical="center" wrapText="1"/>
    </xf>
    <xf numFmtId="166" fontId="24" fillId="7" borderId="23" xfId="111" applyNumberFormat="1" applyFont="1" applyFill="1" applyBorder="1" applyAlignment="1">
      <alignment horizontal="center" vertical="center" wrapText="1"/>
    </xf>
    <xf numFmtId="166" fontId="14" fillId="26" borderId="23" xfId="111" applyNumberFormat="1" applyFont="1" applyFill="1" applyBorder="1" applyAlignment="1">
      <alignment horizontal="center" vertical="center" wrapText="1"/>
    </xf>
    <xf numFmtId="166" fontId="24" fillId="26" borderId="23" xfId="111" applyNumberFormat="1" applyFont="1" applyFill="1" applyBorder="1" applyAlignment="1">
      <alignment horizontal="center" vertical="center" wrapText="1"/>
    </xf>
    <xf numFmtId="169" fontId="26" fillId="5" borderId="23" xfId="111" quotePrefix="1" applyNumberFormat="1" applyFont="1" applyFill="1" applyBorder="1" applyAlignment="1">
      <alignment horizontal="left" vertical="center"/>
    </xf>
    <xf numFmtId="0" fontId="26" fillId="5" borderId="23" xfId="65" applyFont="1" applyFill="1" applyBorder="1" applyAlignment="1">
      <alignment horizontal="left" vertical="center" wrapText="1"/>
    </xf>
    <xf numFmtId="2" fontId="26" fillId="0" borderId="23" xfId="65" applyNumberFormat="1" applyFont="1" applyBorder="1" applyAlignment="1">
      <alignment horizontal="center" vertical="center" wrapText="1"/>
    </xf>
    <xf numFmtId="1" fontId="24" fillId="9" borderId="23" xfId="111" applyNumberFormat="1" applyFont="1" applyFill="1" applyBorder="1" applyAlignment="1">
      <alignment horizontal="center" vertical="center" wrapText="1"/>
    </xf>
    <xf numFmtId="1" fontId="26" fillId="9" borderId="23" xfId="111" applyNumberFormat="1" applyFont="1" applyFill="1" applyBorder="1" applyAlignment="1">
      <alignment horizontal="center" vertical="center" wrapText="1"/>
    </xf>
    <xf numFmtId="165" fontId="26" fillId="9" borderId="23" xfId="111" applyNumberFormat="1" applyFont="1" applyFill="1" applyBorder="1" applyAlignment="1">
      <alignment horizontal="center" vertical="center" wrapText="1"/>
    </xf>
    <xf numFmtId="2" fontId="24" fillId="5" borderId="23" xfId="111" applyNumberFormat="1" applyFont="1" applyFill="1" applyBorder="1" applyAlignment="1">
      <alignment horizontal="center" vertical="center" wrapText="1"/>
    </xf>
    <xf numFmtId="1" fontId="26" fillId="5" borderId="23" xfId="111" applyNumberFormat="1" applyFont="1" applyFill="1" applyBorder="1" applyAlignment="1">
      <alignment horizontal="center" vertical="center" wrapText="1"/>
    </xf>
    <xf numFmtId="166" fontId="24" fillId="5" borderId="23" xfId="111" applyNumberFormat="1" applyFont="1" applyFill="1" applyBorder="1" applyAlignment="1">
      <alignment horizontal="center" vertical="center" wrapText="1"/>
    </xf>
    <xf numFmtId="166" fontId="26" fillId="5" borderId="23" xfId="111" applyNumberFormat="1" applyFont="1" applyFill="1" applyBorder="1" applyAlignment="1">
      <alignment horizontal="center" vertical="center" wrapText="1"/>
    </xf>
    <xf numFmtId="170" fontId="26" fillId="5" borderId="23" xfId="111" applyNumberFormat="1" applyFont="1" applyFill="1" applyBorder="1" applyAlignment="1">
      <alignment horizontal="center" vertical="center" wrapText="1"/>
    </xf>
    <xf numFmtId="4" fontId="26" fillId="0" borderId="84" xfId="0" applyNumberFormat="1" applyFont="1" applyBorder="1"/>
    <xf numFmtId="1" fontId="24" fillId="12" borderId="23" xfId="111" applyNumberFormat="1" applyFont="1" applyFill="1" applyBorder="1" applyAlignment="1">
      <alignment horizontal="center" vertical="center" wrapText="1"/>
    </xf>
    <xf numFmtId="1" fontId="26" fillId="12" borderId="23" xfId="111" applyNumberFormat="1" applyFont="1" applyFill="1" applyBorder="1" applyAlignment="1">
      <alignment horizontal="center" vertical="center" wrapText="1"/>
    </xf>
    <xf numFmtId="165" fontId="26" fillId="12" borderId="23" xfId="111" applyNumberFormat="1" applyFont="1" applyFill="1" applyBorder="1" applyAlignment="1">
      <alignment horizontal="center" vertical="center" wrapText="1"/>
    </xf>
    <xf numFmtId="2" fontId="24" fillId="11" borderId="23" xfId="111" applyNumberFormat="1" applyFont="1" applyFill="1" applyBorder="1" applyAlignment="1">
      <alignment horizontal="center" vertical="center" wrapText="1"/>
    </xf>
    <xf numFmtId="1" fontId="26" fillId="11" borderId="23" xfId="111" applyNumberFormat="1" applyFont="1" applyFill="1" applyBorder="1" applyAlignment="1">
      <alignment horizontal="center" vertical="center" wrapText="1"/>
    </xf>
    <xf numFmtId="166" fontId="24" fillId="11" borderId="23" xfId="111" applyNumberFormat="1" applyFont="1" applyFill="1" applyBorder="1" applyAlignment="1">
      <alignment horizontal="center" vertical="center" wrapText="1"/>
    </xf>
    <xf numFmtId="166" fontId="26" fillId="11" borderId="23" xfId="111" applyNumberFormat="1" applyFont="1" applyFill="1" applyBorder="1" applyAlignment="1">
      <alignment horizontal="center" vertical="center" wrapText="1"/>
    </xf>
    <xf numFmtId="170" fontId="26" fillId="11" borderId="23" xfId="111" applyNumberFormat="1" applyFont="1" applyFill="1" applyBorder="1" applyAlignment="1">
      <alignment horizontal="center" vertical="center" wrapText="1"/>
    </xf>
    <xf numFmtId="0" fontId="26" fillId="11" borderId="23" xfId="65" applyFont="1" applyFill="1" applyBorder="1" applyAlignment="1">
      <alignment horizontal="left" vertical="center" wrapText="1"/>
    </xf>
    <xf numFmtId="49" fontId="26" fillId="5" borderId="23" xfId="111" applyNumberFormat="1" applyFont="1" applyFill="1" applyBorder="1" applyAlignment="1">
      <alignment horizontal="left" vertical="center"/>
    </xf>
    <xf numFmtId="169" fontId="26" fillId="0" borderId="23" xfId="65" applyNumberFormat="1" applyFont="1" applyBorder="1" applyAlignment="1">
      <alignment vertical="center"/>
    </xf>
    <xf numFmtId="0" fontId="26" fillId="0" borderId="23" xfId="65" applyFont="1" applyBorder="1" applyAlignment="1">
      <alignment vertical="center" wrapText="1"/>
    </xf>
    <xf numFmtId="0" fontId="28" fillId="26" borderId="23" xfId="111" applyFont="1" applyFill="1" applyBorder="1" applyAlignment="1">
      <alignment vertical="center" wrapText="1"/>
    </xf>
    <xf numFmtId="0" fontId="25" fillId="26" borderId="23" xfId="111" applyFont="1" applyFill="1" applyBorder="1" applyAlignment="1">
      <alignment vertical="center" wrapText="1"/>
    </xf>
    <xf numFmtId="169" fontId="9" fillId="0" borderId="23" xfId="111" quotePrefix="1" applyNumberFormat="1" applyBorder="1" applyAlignment="1">
      <alignment horizontal="left" vertical="center"/>
    </xf>
    <xf numFmtId="0" fontId="14" fillId="26" borderId="23" xfId="111" applyFont="1" applyFill="1" applyBorder="1" applyAlignment="1">
      <alignment horizontal="center" vertical="center" wrapText="1"/>
    </xf>
    <xf numFmtId="3" fontId="24" fillId="5" borderId="23" xfId="111" applyNumberFormat="1" applyFont="1" applyFill="1" applyBorder="1" applyAlignment="1">
      <alignment horizontal="center" vertical="center" wrapText="1"/>
    </xf>
    <xf numFmtId="1" fontId="24" fillId="5" borderId="23" xfId="111" applyNumberFormat="1" applyFont="1" applyFill="1" applyBorder="1" applyAlignment="1">
      <alignment horizontal="center" vertical="center" wrapText="1"/>
    </xf>
    <xf numFmtId="3" fontId="24" fillId="12" borderId="23" xfId="111" applyNumberFormat="1" applyFont="1" applyFill="1" applyBorder="1" applyAlignment="1">
      <alignment horizontal="center" vertical="center" wrapText="1"/>
    </xf>
    <xf numFmtId="3" fontId="26" fillId="12" borderId="23" xfId="111" applyNumberFormat="1" applyFont="1" applyFill="1" applyBorder="1" applyAlignment="1">
      <alignment horizontal="center" vertical="center" wrapText="1"/>
    </xf>
    <xf numFmtId="3" fontId="24" fillId="11" borderId="23" xfId="111" applyNumberFormat="1" applyFont="1" applyFill="1" applyBorder="1" applyAlignment="1">
      <alignment horizontal="center" vertical="center" wrapText="1"/>
    </xf>
    <xf numFmtId="1" fontId="24" fillId="11" borderId="23" xfId="111" applyNumberFormat="1" applyFont="1" applyFill="1" applyBorder="1" applyAlignment="1">
      <alignment horizontal="center" vertical="center" wrapText="1"/>
    </xf>
    <xf numFmtId="169" fontId="26" fillId="11" borderId="23" xfId="111" applyNumberFormat="1" applyFont="1" applyFill="1" applyBorder="1" applyAlignment="1">
      <alignment horizontal="left" vertical="center"/>
    </xf>
    <xf numFmtId="3" fontId="24" fillId="11" borderId="23" xfId="65" applyNumberFormat="1" applyFont="1" applyFill="1" applyBorder="1" applyAlignment="1">
      <alignment horizontal="center" vertical="center" wrapText="1"/>
    </xf>
    <xf numFmtId="1" fontId="24" fillId="11" borderId="23" xfId="65" applyNumberFormat="1" applyFont="1" applyFill="1" applyBorder="1" applyAlignment="1">
      <alignment horizontal="center" vertical="center" wrapText="1"/>
    </xf>
    <xf numFmtId="0" fontId="26" fillId="0" borderId="23" xfId="65" applyFont="1" applyBorder="1" applyAlignment="1">
      <alignment horizontal="left" vertical="center" wrapText="1"/>
    </xf>
    <xf numFmtId="167" fontId="9" fillId="5" borderId="23" xfId="65" applyNumberFormat="1" applyFill="1" applyBorder="1" applyAlignment="1">
      <alignment horizontal="center" vertical="center" wrapText="1"/>
    </xf>
    <xf numFmtId="166" fontId="28" fillId="7" borderId="23" xfId="111" applyNumberFormat="1" applyFont="1" applyFill="1" applyBorder="1" applyAlignment="1">
      <alignment vertical="center" wrapText="1"/>
    </xf>
    <xf numFmtId="2" fontId="28" fillId="7" borderId="23" xfId="111" applyNumberFormat="1" applyFont="1" applyFill="1" applyBorder="1" applyAlignment="1">
      <alignment vertical="center" wrapText="1"/>
    </xf>
    <xf numFmtId="0" fontId="26" fillId="7" borderId="23" xfId="111" applyFont="1" applyFill="1" applyBorder="1" applyAlignment="1">
      <alignment horizontal="center" vertical="center" wrapText="1"/>
    </xf>
    <xf numFmtId="0" fontId="14" fillId="7" borderId="23" xfId="65" applyFont="1" applyFill="1" applyBorder="1" applyAlignment="1">
      <alignment horizontal="left" vertical="center"/>
    </xf>
    <xf numFmtId="169" fontId="26" fillId="5" borderId="23" xfId="111" applyNumberFormat="1" applyFont="1" applyFill="1" applyBorder="1" applyAlignment="1">
      <alignment horizontal="left" vertical="center"/>
    </xf>
    <xf numFmtId="0" fontId="9" fillId="11" borderId="23" xfId="65" applyFill="1" applyBorder="1" applyAlignment="1">
      <alignment horizontal="left" vertical="center" wrapText="1"/>
    </xf>
    <xf numFmtId="0" fontId="26" fillId="0" borderId="23" xfId="65" applyFont="1" applyBorder="1" applyAlignment="1">
      <alignment horizontal="center" vertical="center" wrapText="1"/>
    </xf>
    <xf numFmtId="0" fontId="26" fillId="27" borderId="0" xfId="111" applyFont="1" applyFill="1" applyAlignment="1">
      <alignment vertical="center"/>
    </xf>
    <xf numFmtId="0" fontId="24" fillId="26" borderId="23" xfId="111" applyFont="1" applyFill="1" applyBorder="1" applyAlignment="1">
      <alignment horizontal="center" vertical="center" wrapText="1"/>
    </xf>
    <xf numFmtId="0" fontId="9" fillId="26" borderId="23" xfId="111" applyFill="1" applyBorder="1" applyAlignment="1">
      <alignment horizontal="center" vertical="center" wrapText="1"/>
    </xf>
    <xf numFmtId="0" fontId="26" fillId="26" borderId="23" xfId="111" applyFont="1" applyFill="1" applyBorder="1" applyAlignment="1">
      <alignment horizontal="center" vertical="center" wrapText="1"/>
    </xf>
    <xf numFmtId="167" fontId="26" fillId="11" borderId="23" xfId="65" applyNumberFormat="1" applyFont="1" applyFill="1" applyBorder="1" applyAlignment="1">
      <alignment horizontal="center" vertical="center" wrapText="1"/>
    </xf>
    <xf numFmtId="0" fontId="26" fillId="0" borderId="0" xfId="0" applyFont="1"/>
    <xf numFmtId="167" fontId="26" fillId="9" borderId="23" xfId="65" applyNumberFormat="1" applyFont="1" applyFill="1" applyBorder="1" applyAlignment="1">
      <alignment horizontal="center" vertical="center" wrapText="1"/>
    </xf>
    <xf numFmtId="0" fontId="24" fillId="7" borderId="23" xfId="111" applyFont="1" applyFill="1" applyBorder="1" applyAlignment="1">
      <alignment horizontal="center" vertical="center" wrapText="1"/>
    </xf>
    <xf numFmtId="169" fontId="9" fillId="27" borderId="23" xfId="111" applyNumberFormat="1" applyFill="1" applyBorder="1" applyAlignment="1">
      <alignment horizontal="left" vertical="center"/>
    </xf>
    <xf numFmtId="0" fontId="9" fillId="27" borderId="23" xfId="65" applyFill="1" applyBorder="1" applyAlignment="1">
      <alignment vertical="center" wrapText="1"/>
    </xf>
    <xf numFmtId="169" fontId="26" fillId="27" borderId="23" xfId="65" applyNumberFormat="1" applyFont="1" applyFill="1" applyBorder="1" applyAlignment="1">
      <alignment vertical="center"/>
    </xf>
    <xf numFmtId="0" fontId="26" fillId="27" borderId="23" xfId="65" applyFont="1" applyFill="1" applyBorder="1" applyAlignment="1">
      <alignment vertical="center" wrapText="1"/>
    </xf>
    <xf numFmtId="0" fontId="9" fillId="27" borderId="23" xfId="65" applyFill="1" applyBorder="1" applyAlignment="1">
      <alignment horizontal="center" vertical="center" wrapText="1"/>
    </xf>
    <xf numFmtId="3" fontId="24" fillId="28" borderId="23" xfId="65" applyNumberFormat="1" applyFont="1" applyFill="1" applyBorder="1" applyAlignment="1">
      <alignment horizontal="center" vertical="center" wrapText="1"/>
    </xf>
    <xf numFmtId="3" fontId="9" fillId="28" borderId="23" xfId="65" applyNumberFormat="1" applyFill="1" applyBorder="1" applyAlignment="1">
      <alignment horizontal="center" vertical="center" wrapText="1"/>
    </xf>
    <xf numFmtId="165" fontId="26" fillId="28" borderId="23" xfId="65" applyNumberFormat="1" applyFont="1" applyFill="1" applyBorder="1" applyAlignment="1">
      <alignment horizontal="center" vertical="center" wrapText="1"/>
    </xf>
    <xf numFmtId="165" fontId="24" fillId="27" borderId="23" xfId="65" applyNumberFormat="1" applyFont="1" applyFill="1" applyBorder="1" applyAlignment="1">
      <alignment horizontal="center" vertical="center" wrapText="1"/>
    </xf>
    <xf numFmtId="1" fontId="9" fillId="27" borderId="23" xfId="65" applyNumberFormat="1" applyFill="1" applyBorder="1" applyAlignment="1">
      <alignment horizontal="center" vertical="center" wrapText="1"/>
    </xf>
    <xf numFmtId="1" fontId="26" fillId="27" borderId="23" xfId="65" applyNumberFormat="1" applyFont="1" applyFill="1" applyBorder="1" applyAlignment="1">
      <alignment horizontal="center" vertical="center" wrapText="1"/>
    </xf>
    <xf numFmtId="2" fontId="24" fillId="27" borderId="23" xfId="65" applyNumberFormat="1" applyFont="1" applyFill="1" applyBorder="1" applyAlignment="1">
      <alignment horizontal="center" vertical="center" wrapText="1"/>
    </xf>
    <xf numFmtId="2" fontId="9" fillId="27" borderId="23" xfId="65" applyNumberFormat="1" applyFill="1" applyBorder="1" applyAlignment="1">
      <alignment horizontal="center" vertical="center" wrapText="1"/>
    </xf>
    <xf numFmtId="170" fontId="26" fillId="27" borderId="23" xfId="65" applyNumberFormat="1" applyFont="1" applyFill="1" applyBorder="1" applyAlignment="1">
      <alignment horizontal="center" vertical="center" wrapText="1"/>
    </xf>
    <xf numFmtId="170" fontId="26" fillId="27" borderId="23" xfId="111" applyNumberFormat="1" applyFont="1" applyFill="1" applyBorder="1" applyAlignment="1">
      <alignment horizontal="center" vertical="center" wrapText="1"/>
    </xf>
    <xf numFmtId="0" fontId="9" fillId="27" borderId="23" xfId="65" applyFill="1" applyBorder="1" applyAlignment="1">
      <alignment horizontal="left" vertical="center" wrapText="1"/>
    </xf>
    <xf numFmtId="0" fontId="9" fillId="27" borderId="0" xfId="111" applyFill="1" applyAlignment="1">
      <alignment vertical="center"/>
    </xf>
    <xf numFmtId="169" fontId="9" fillId="11" borderId="23" xfId="111" applyNumberFormat="1" applyFill="1" applyBorder="1" applyAlignment="1">
      <alignment horizontal="left" vertical="center"/>
    </xf>
    <xf numFmtId="2" fontId="26" fillId="5" borderId="23" xfId="111" applyNumberFormat="1" applyFont="1" applyFill="1" applyBorder="1" applyAlignment="1">
      <alignment horizontal="center" vertical="center" wrapText="1"/>
    </xf>
    <xf numFmtId="0" fontId="26" fillId="11" borderId="23" xfId="65" applyFont="1" applyFill="1" applyBorder="1" applyAlignment="1">
      <alignment vertical="center"/>
    </xf>
    <xf numFmtId="0" fontId="9" fillId="5" borderId="23" xfId="111" applyFill="1" applyBorder="1" applyAlignment="1">
      <alignment horizontal="left" vertical="center" wrapText="1"/>
    </xf>
    <xf numFmtId="49" fontId="9" fillId="5" borderId="23" xfId="65" applyNumberFormat="1" applyFill="1" applyBorder="1" applyAlignment="1">
      <alignment vertical="center" wrapText="1"/>
    </xf>
    <xf numFmtId="2" fontId="9" fillId="7" borderId="23" xfId="111" applyNumberFormat="1" applyFill="1" applyBorder="1" applyAlignment="1">
      <alignment horizontal="center" vertical="center" wrapText="1"/>
    </xf>
    <xf numFmtId="0" fontId="26" fillId="5" borderId="23" xfId="111" applyFont="1" applyFill="1" applyBorder="1" applyAlignment="1">
      <alignment horizontal="left" vertical="center" wrapText="1"/>
    </xf>
    <xf numFmtId="1" fontId="9" fillId="8" borderId="23" xfId="111" applyNumberFormat="1" applyFill="1" applyBorder="1" applyAlignment="1">
      <alignment horizontal="center" vertical="center" wrapText="1"/>
    </xf>
    <xf numFmtId="165" fontId="24" fillId="7" borderId="23" xfId="111" applyNumberFormat="1" applyFont="1" applyFill="1" applyBorder="1" applyAlignment="1">
      <alignment horizontal="center" vertical="center" wrapText="1"/>
    </xf>
    <xf numFmtId="165" fontId="14" fillId="26" borderId="23" xfId="111" applyNumberFormat="1" applyFont="1" applyFill="1" applyBorder="1" applyAlignment="1">
      <alignment horizontal="center" vertical="center" wrapText="1"/>
    </xf>
    <xf numFmtId="165" fontId="24" fillId="26" borderId="23" xfId="111" applyNumberFormat="1" applyFont="1" applyFill="1" applyBorder="1" applyAlignment="1">
      <alignment horizontal="center" vertical="center" wrapText="1"/>
    </xf>
    <xf numFmtId="0" fontId="9" fillId="5" borderId="0" xfId="111" applyFill="1"/>
    <xf numFmtId="0" fontId="14" fillId="18" borderId="23" xfId="0" applyFont="1" applyFill="1" applyBorder="1" applyAlignment="1">
      <alignment vertical="center" wrapText="1"/>
    </xf>
    <xf numFmtId="0" fontId="14" fillId="18" borderId="23" xfId="0" applyFont="1" applyFill="1" applyBorder="1" applyAlignment="1">
      <alignment horizontal="center" vertical="center" wrapText="1"/>
    </xf>
    <xf numFmtId="3" fontId="14" fillId="18" borderId="23" xfId="0" applyNumberFormat="1" applyFont="1" applyFill="1" applyBorder="1" applyAlignment="1">
      <alignment horizontal="center" vertical="center" wrapText="1"/>
    </xf>
    <xf numFmtId="167" fontId="28" fillId="18" borderId="23" xfId="0" applyNumberFormat="1" applyFont="1" applyFill="1" applyBorder="1" applyAlignment="1">
      <alignment horizontal="center" vertical="center" wrapText="1"/>
    </xf>
    <xf numFmtId="0" fontId="9" fillId="5" borderId="23" xfId="0" applyFont="1" applyFill="1" applyBorder="1" applyAlignment="1">
      <alignment vertical="center" wrapText="1"/>
    </xf>
    <xf numFmtId="3" fontId="14" fillId="6" borderId="23" xfId="0" applyNumberFormat="1" applyFont="1" applyFill="1" applyBorder="1" applyAlignment="1">
      <alignment horizontal="center" vertical="center" wrapText="1"/>
    </xf>
    <xf numFmtId="3" fontId="9" fillId="6" borderId="23" xfId="0" applyNumberFormat="1" applyFont="1" applyFill="1" applyBorder="1" applyAlignment="1">
      <alignment horizontal="center" vertical="center" wrapText="1"/>
    </xf>
    <xf numFmtId="4" fontId="14" fillId="0" borderId="23" xfId="0" applyNumberFormat="1" applyFont="1" applyBorder="1" applyAlignment="1">
      <alignment horizontal="center" vertical="center" wrapText="1"/>
    </xf>
    <xf numFmtId="4" fontId="9" fillId="0" borderId="23" xfId="0" applyNumberFormat="1" applyFont="1" applyBorder="1" applyAlignment="1">
      <alignment horizontal="center" vertical="center" wrapText="1"/>
    </xf>
    <xf numFmtId="0" fontId="9" fillId="5" borderId="23" xfId="0" applyFont="1" applyFill="1" applyBorder="1" applyAlignment="1">
      <alignment horizontal="center" vertical="center" wrapText="1"/>
    </xf>
    <xf numFmtId="0" fontId="26" fillId="5" borderId="23" xfId="0" applyFont="1" applyFill="1" applyBorder="1" applyAlignment="1">
      <alignment horizontal="left" vertical="center" shrinkToFit="1"/>
    </xf>
    <xf numFmtId="0" fontId="26" fillId="5" borderId="23" xfId="111" applyFont="1" applyFill="1" applyBorder="1" applyAlignment="1">
      <alignment vertical="center" wrapText="1"/>
    </xf>
    <xf numFmtId="0" fontId="26" fillId="5" borderId="23" xfId="111" applyFont="1" applyFill="1" applyBorder="1" applyAlignment="1">
      <alignment horizontal="center" vertical="center" wrapText="1"/>
    </xf>
    <xf numFmtId="3" fontId="24" fillId="6" borderId="23" xfId="0" applyNumberFormat="1" applyFont="1" applyFill="1" applyBorder="1" applyAlignment="1">
      <alignment horizontal="center" vertical="center" wrapText="1"/>
    </xf>
    <xf numFmtId="3" fontId="26" fillId="6" borderId="23" xfId="0" applyNumberFormat="1" applyFont="1" applyFill="1" applyBorder="1" applyAlignment="1">
      <alignment horizontal="center" vertical="center" wrapText="1"/>
    </xf>
    <xf numFmtId="4" fontId="24" fillId="0" borderId="23" xfId="0" applyNumberFormat="1" applyFont="1" applyBorder="1" applyAlignment="1">
      <alignment horizontal="center" vertical="center" wrapText="1"/>
    </xf>
    <xf numFmtId="4" fontId="26" fillId="0" borderId="23" xfId="0" applyNumberFormat="1" applyFont="1" applyBorder="1" applyAlignment="1">
      <alignment horizontal="center" vertical="center" wrapText="1"/>
    </xf>
    <xf numFmtId="0" fontId="26" fillId="5" borderId="0" xfId="0" applyFont="1" applyFill="1"/>
    <xf numFmtId="169" fontId="9" fillId="0" borderId="23" xfId="111" quotePrefix="1" applyNumberFormat="1" applyBorder="1" applyAlignment="1">
      <alignment vertical="center"/>
    </xf>
    <xf numFmtId="0" fontId="9" fillId="0" borderId="23" xfId="111" applyBorder="1" applyAlignment="1">
      <alignment vertical="center" wrapText="1"/>
    </xf>
    <xf numFmtId="3" fontId="9" fillId="6" borderId="23" xfId="0" applyNumberFormat="1" applyFont="1" applyFill="1" applyBorder="1" applyAlignment="1">
      <alignment horizontal="center" vertical="center" shrinkToFit="1"/>
    </xf>
    <xf numFmtId="0" fontId="9" fillId="0" borderId="23" xfId="65" applyBorder="1" applyAlignment="1">
      <alignment vertical="center" wrapText="1"/>
    </xf>
    <xf numFmtId="3" fontId="26" fillId="6" borderId="23" xfId="0" applyNumberFormat="1" applyFont="1" applyFill="1" applyBorder="1" applyAlignment="1">
      <alignment horizontal="center" vertical="center" shrinkToFit="1"/>
    </xf>
    <xf numFmtId="0" fontId="14" fillId="18" borderId="23" xfId="0" applyFont="1" applyFill="1" applyBorder="1" applyAlignment="1">
      <alignment horizontal="left" vertical="center" shrinkToFit="1"/>
    </xf>
    <xf numFmtId="3" fontId="14" fillId="18" borderId="23" xfId="0" applyNumberFormat="1" applyFont="1" applyFill="1" applyBorder="1" applyAlignment="1">
      <alignment horizontal="center" vertical="center" shrinkToFit="1"/>
    </xf>
    <xf numFmtId="3" fontId="28" fillId="18" borderId="23" xfId="0" applyNumberFormat="1" applyFont="1" applyFill="1" applyBorder="1" applyAlignment="1">
      <alignment horizontal="center" vertical="center" shrinkToFit="1"/>
    </xf>
    <xf numFmtId="0" fontId="9" fillId="0" borderId="23" xfId="0" applyFont="1" applyBorder="1" applyAlignment="1">
      <alignment horizontal="left" vertical="center" shrinkToFit="1"/>
    </xf>
    <xf numFmtId="0" fontId="9" fillId="0" borderId="23" xfId="111" quotePrefix="1" applyBorder="1" applyAlignment="1">
      <alignment vertical="center" wrapText="1"/>
    </xf>
    <xf numFmtId="169" fontId="26" fillId="11" borderId="23" xfId="111" applyNumberFormat="1" applyFont="1" applyFill="1" applyBorder="1" applyAlignment="1">
      <alignment vertical="center"/>
    </xf>
    <xf numFmtId="0" fontId="26" fillId="11" borderId="23" xfId="0" applyFont="1" applyFill="1" applyBorder="1" applyAlignment="1">
      <alignment horizontal="left" vertical="center" shrinkToFit="1"/>
    </xf>
    <xf numFmtId="0" fontId="26" fillId="11" borderId="23" xfId="111" applyFont="1" applyFill="1" applyBorder="1" applyAlignment="1">
      <alignment vertical="center" wrapText="1"/>
    </xf>
    <xf numFmtId="0" fontId="26" fillId="11" borderId="23" xfId="0" applyFont="1" applyFill="1" applyBorder="1" applyAlignment="1">
      <alignment horizontal="center" vertical="center" shrinkToFit="1"/>
    </xf>
    <xf numFmtId="0" fontId="26" fillId="11" borderId="23" xfId="111" applyFont="1" applyFill="1" applyBorder="1" applyAlignment="1">
      <alignment horizontal="center" vertical="center" wrapText="1"/>
    </xf>
    <xf numFmtId="3" fontId="24" fillId="11" borderId="23" xfId="0" applyNumberFormat="1" applyFont="1" applyFill="1" applyBorder="1" applyAlignment="1">
      <alignment horizontal="center" vertical="center" wrapText="1"/>
    </xf>
    <xf numFmtId="3" fontId="26" fillId="11" borderId="23" xfId="0" applyNumberFormat="1" applyFont="1" applyFill="1" applyBorder="1" applyAlignment="1">
      <alignment horizontal="center" vertical="center" wrapText="1"/>
    </xf>
    <xf numFmtId="4" fontId="24" fillId="11" borderId="23" xfId="0" applyNumberFormat="1" applyFont="1" applyFill="1" applyBorder="1" applyAlignment="1">
      <alignment horizontal="center" vertical="center" wrapText="1"/>
    </xf>
    <xf numFmtId="4" fontId="26" fillId="11" borderId="23" xfId="0" applyNumberFormat="1" applyFont="1" applyFill="1" applyBorder="1" applyAlignment="1">
      <alignment horizontal="center" vertical="center" wrapText="1"/>
    </xf>
    <xf numFmtId="169" fontId="26" fillId="11" borderId="23" xfId="111" quotePrefix="1" applyNumberFormat="1" applyFont="1" applyFill="1" applyBorder="1" applyAlignment="1">
      <alignment vertical="center"/>
    </xf>
    <xf numFmtId="0" fontId="26" fillId="11" borderId="13" xfId="111" applyFont="1" applyFill="1" applyBorder="1" applyAlignment="1">
      <alignment vertical="center" wrapText="1"/>
    </xf>
    <xf numFmtId="0" fontId="26" fillId="11" borderId="13" xfId="65" applyFont="1" applyFill="1" applyBorder="1" applyAlignment="1">
      <alignment vertical="center" wrapText="1"/>
    </xf>
    <xf numFmtId="0" fontId="26" fillId="5" borderId="13" xfId="0" applyFont="1" applyFill="1" applyBorder="1" applyAlignment="1">
      <alignment horizontal="left" vertical="center" shrinkToFit="1"/>
    </xf>
    <xf numFmtId="0" fontId="26" fillId="5" borderId="13" xfId="0" applyFont="1" applyFill="1" applyBorder="1" applyAlignment="1">
      <alignment horizontal="center" vertical="center" shrinkToFit="1"/>
    </xf>
    <xf numFmtId="0" fontId="26" fillId="5" borderId="13" xfId="111" applyFont="1" applyFill="1" applyBorder="1" applyAlignment="1">
      <alignment horizontal="center" vertical="center" wrapText="1"/>
    </xf>
    <xf numFmtId="0" fontId="26" fillId="5" borderId="13" xfId="65" applyFont="1" applyFill="1" applyBorder="1" applyAlignment="1">
      <alignment horizontal="center" vertical="center" wrapText="1"/>
    </xf>
    <xf numFmtId="49" fontId="26" fillId="5" borderId="23" xfId="111" applyNumberFormat="1" applyFont="1" applyFill="1" applyBorder="1" applyAlignment="1">
      <alignment vertical="center"/>
    </xf>
    <xf numFmtId="0" fontId="26" fillId="0" borderId="23" xfId="0" applyFont="1" applyBorder="1" applyAlignment="1">
      <alignment horizontal="left" vertical="center" shrinkToFit="1"/>
    </xf>
    <xf numFmtId="11" fontId="14" fillId="18" borderId="23" xfId="0" applyNumberFormat="1" applyFont="1" applyFill="1" applyBorder="1" applyAlignment="1">
      <alignment vertical="center" wrapText="1"/>
    </xf>
    <xf numFmtId="11" fontId="14" fillId="18" borderId="19" xfId="0" applyNumberFormat="1" applyFont="1" applyFill="1" applyBorder="1" applyAlignment="1">
      <alignment horizontal="center" vertical="center" wrapText="1"/>
    </xf>
    <xf numFmtId="11" fontId="28" fillId="18" borderId="19" xfId="0" applyNumberFormat="1" applyFont="1" applyFill="1" applyBorder="1" applyAlignment="1">
      <alignment vertical="center" wrapText="1"/>
    </xf>
    <xf numFmtId="11" fontId="28" fillId="18" borderId="23" xfId="0" applyNumberFormat="1" applyFont="1" applyFill="1" applyBorder="1" applyAlignment="1">
      <alignment vertical="center" wrapText="1"/>
    </xf>
    <xf numFmtId="11" fontId="28" fillId="18" borderId="23" xfId="0" applyNumberFormat="1" applyFont="1" applyFill="1" applyBorder="1" applyAlignment="1">
      <alignment horizontal="center" vertical="center"/>
    </xf>
    <xf numFmtId="11" fontId="14" fillId="18" borderId="23" xfId="0" applyNumberFormat="1" applyFont="1" applyFill="1" applyBorder="1" applyAlignment="1">
      <alignment horizontal="center" vertical="center" wrapText="1"/>
    </xf>
    <xf numFmtId="11" fontId="14" fillId="18" borderId="23" xfId="0" applyNumberFormat="1" applyFont="1" applyFill="1" applyBorder="1" applyAlignment="1">
      <alignment horizontal="left" vertical="center" wrapText="1"/>
    </xf>
    <xf numFmtId="0" fontId="9" fillId="5" borderId="18" xfId="0" applyFont="1" applyFill="1" applyBorder="1"/>
    <xf numFmtId="11" fontId="9" fillId="5" borderId="23" xfId="0" applyNumberFormat="1" applyFont="1" applyFill="1" applyBorder="1" applyAlignment="1">
      <alignment vertical="center" wrapText="1"/>
    </xf>
    <xf numFmtId="11" fontId="9" fillId="5" borderId="23" xfId="0" applyNumberFormat="1" applyFont="1" applyFill="1" applyBorder="1" applyAlignment="1">
      <alignment horizontal="center" vertical="center" shrinkToFit="1"/>
    </xf>
    <xf numFmtId="166" fontId="9" fillId="6" borderId="23" xfId="0" applyNumberFormat="1" applyFont="1" applyFill="1" applyBorder="1" applyAlignment="1">
      <alignment horizontal="center" vertical="center"/>
    </xf>
    <xf numFmtId="0" fontId="9" fillId="6" borderId="23" xfId="0" applyFont="1" applyFill="1" applyBorder="1" applyAlignment="1">
      <alignment horizontal="center" vertical="center" wrapText="1"/>
    </xf>
    <xf numFmtId="2" fontId="14" fillId="5" borderId="23" xfId="0" applyNumberFormat="1" applyFont="1" applyFill="1" applyBorder="1" applyAlignment="1">
      <alignment horizontal="center" vertical="center" wrapText="1"/>
    </xf>
    <xf numFmtId="2" fontId="9" fillId="5" borderId="23" xfId="0" applyNumberFormat="1" applyFont="1" applyFill="1" applyBorder="1" applyAlignment="1">
      <alignment horizontal="center" vertical="center" wrapText="1"/>
    </xf>
    <xf numFmtId="11" fontId="9" fillId="5" borderId="23" xfId="0" applyNumberFormat="1" applyFont="1" applyFill="1" applyBorder="1" applyAlignment="1">
      <alignment horizontal="left" vertical="center" wrapText="1"/>
    </xf>
    <xf numFmtId="169" fontId="9" fillId="27" borderId="23" xfId="111" applyNumberFormat="1" applyFill="1" applyBorder="1" applyAlignment="1">
      <alignment vertical="center"/>
    </xf>
    <xf numFmtId="11" fontId="26" fillId="27" borderId="23" xfId="0" applyNumberFormat="1" applyFont="1" applyFill="1" applyBorder="1" applyAlignment="1">
      <alignment vertical="center" wrapText="1"/>
    </xf>
    <xf numFmtId="166" fontId="26" fillId="6" borderId="23" xfId="0" applyNumberFormat="1" applyFont="1" applyFill="1" applyBorder="1" applyAlignment="1">
      <alignment horizontal="center" vertical="center"/>
    </xf>
    <xf numFmtId="0" fontId="26" fillId="6" borderId="23" xfId="0" applyFont="1" applyFill="1" applyBorder="1" applyAlignment="1">
      <alignment horizontal="center" vertical="center" wrapText="1"/>
    </xf>
    <xf numFmtId="2" fontId="24" fillId="5" borderId="23" xfId="0" applyNumberFormat="1" applyFont="1" applyFill="1" applyBorder="1" applyAlignment="1">
      <alignment horizontal="center" vertical="center" wrapText="1"/>
    </xf>
    <xf numFmtId="2" fontId="26" fillId="5" borderId="23" xfId="0" applyNumberFormat="1" applyFont="1" applyFill="1" applyBorder="1" applyAlignment="1">
      <alignment horizontal="center" vertical="center" wrapText="1"/>
    </xf>
    <xf numFmtId="0" fontId="26" fillId="5" borderId="23" xfId="0" applyFont="1" applyFill="1" applyBorder="1" applyAlignment="1">
      <alignment horizontal="center" vertical="center" wrapText="1"/>
    </xf>
    <xf numFmtId="11" fontId="26" fillId="5" borderId="23" xfId="0" applyNumberFormat="1" applyFont="1" applyFill="1" applyBorder="1" applyAlignment="1">
      <alignment horizontal="left" vertical="center" wrapText="1"/>
    </xf>
    <xf numFmtId="11" fontId="26" fillId="5" borderId="23" xfId="0" applyNumberFormat="1" applyFont="1" applyFill="1" applyBorder="1" applyAlignment="1">
      <alignment horizontal="center" vertical="center" shrinkToFit="1"/>
    </xf>
    <xf numFmtId="11" fontId="14" fillId="18" borderId="23" xfId="0" applyNumberFormat="1" applyFont="1" applyFill="1" applyBorder="1" applyAlignment="1">
      <alignment horizontal="center" vertical="center" shrinkToFit="1"/>
    </xf>
    <xf numFmtId="11" fontId="9" fillId="18" borderId="23" xfId="0" applyNumberFormat="1" applyFont="1" applyFill="1" applyBorder="1" applyAlignment="1">
      <alignment horizontal="center" vertical="center" wrapText="1"/>
    </xf>
    <xf numFmtId="166" fontId="9" fillId="5" borderId="23" xfId="152" applyNumberFormat="1" applyFont="1" applyFill="1" applyBorder="1" applyAlignment="1">
      <alignment horizontal="center" vertical="center"/>
    </xf>
    <xf numFmtId="166" fontId="14" fillId="5" borderId="23" xfId="152" applyNumberFormat="1" applyFont="1" applyFill="1" applyBorder="1" applyAlignment="1">
      <alignment horizontal="center" vertical="center"/>
    </xf>
    <xf numFmtId="11" fontId="9" fillId="5" borderId="0" xfId="0" applyNumberFormat="1" applyFont="1" applyFill="1"/>
    <xf numFmtId="166" fontId="24" fillId="5" borderId="23" xfId="152" applyNumberFormat="1" applyFont="1" applyFill="1" applyBorder="1" applyAlignment="1">
      <alignment horizontal="center" vertical="center"/>
    </xf>
    <xf numFmtId="166" fontId="26" fillId="5" borderId="23" xfId="152" applyNumberFormat="1" applyFont="1" applyFill="1" applyBorder="1" applyAlignment="1">
      <alignment horizontal="center" vertical="center"/>
    </xf>
    <xf numFmtId="11" fontId="26" fillId="5" borderId="23" xfId="0" applyNumberFormat="1" applyFont="1" applyFill="1" applyBorder="1" applyAlignment="1">
      <alignment vertical="center" wrapText="1"/>
    </xf>
    <xf numFmtId="49" fontId="26" fillId="27" borderId="23" xfId="111" applyNumberFormat="1" applyFont="1" applyFill="1" applyBorder="1" applyAlignment="1">
      <alignment vertical="center"/>
    </xf>
    <xf numFmtId="11" fontId="26" fillId="5" borderId="23" xfId="0" applyNumberFormat="1" applyFont="1" applyFill="1" applyBorder="1" applyAlignment="1">
      <alignment horizontal="center" vertical="center" wrapText="1"/>
    </xf>
    <xf numFmtId="11" fontId="26" fillId="5" borderId="0" xfId="0" applyNumberFormat="1" applyFont="1" applyFill="1"/>
    <xf numFmtId="197" fontId="9" fillId="5" borderId="0" xfId="0" applyNumberFormat="1" applyFont="1" applyFill="1"/>
    <xf numFmtId="2" fontId="14" fillId="5" borderId="23" xfId="152" applyNumberFormat="1" applyFont="1" applyFill="1" applyBorder="1" applyAlignment="1">
      <alignment horizontal="center" vertical="center" wrapText="1"/>
    </xf>
    <xf numFmtId="169" fontId="9" fillId="27" borderId="23" xfId="111" quotePrefix="1" applyNumberFormat="1" applyFill="1" applyBorder="1" applyAlignment="1">
      <alignment vertical="center"/>
    </xf>
    <xf numFmtId="169" fontId="9" fillId="5" borderId="13" xfId="111" applyNumberFormat="1" applyFill="1" applyBorder="1" applyAlignment="1">
      <alignment vertical="center"/>
    </xf>
    <xf numFmtId="11" fontId="9" fillId="5" borderId="13" xfId="0" applyNumberFormat="1" applyFont="1" applyFill="1" applyBorder="1" applyAlignment="1">
      <alignment vertical="center" wrapText="1"/>
    </xf>
    <xf numFmtId="11" fontId="9" fillId="5" borderId="13" xfId="0" applyNumberFormat="1" applyFont="1" applyFill="1" applyBorder="1" applyAlignment="1">
      <alignment horizontal="center" vertical="center" shrinkToFit="1"/>
    </xf>
    <xf numFmtId="11" fontId="9" fillId="5" borderId="13" xfId="0" applyNumberFormat="1" applyFont="1" applyFill="1" applyBorder="1" applyAlignment="1">
      <alignment horizontal="center" vertical="center" wrapText="1"/>
    </xf>
    <xf numFmtId="11" fontId="9" fillId="5" borderId="13" xfId="0" applyNumberFormat="1" applyFont="1" applyFill="1" applyBorder="1" applyAlignment="1">
      <alignment horizontal="left" vertical="center" wrapText="1"/>
    </xf>
    <xf numFmtId="49" fontId="6" fillId="0" borderId="0" xfId="0" applyNumberFormat="1" applyFont="1"/>
    <xf numFmtId="49" fontId="6" fillId="21" borderId="0" xfId="0" applyNumberFormat="1" applyFont="1" applyFill="1"/>
    <xf numFmtId="49" fontId="5" fillId="0" borderId="0" xfId="0" applyNumberFormat="1" applyFont="1"/>
    <xf numFmtId="49" fontId="52" fillId="5" borderId="23" xfId="65" applyNumberFormat="1" applyFont="1" applyFill="1" applyBorder="1" applyAlignment="1">
      <alignment horizontal="left" vertical="center"/>
    </xf>
    <xf numFmtId="49" fontId="5" fillId="5" borderId="61" xfId="65" quotePrefix="1" applyNumberFormat="1" applyFont="1" applyFill="1" applyBorder="1" applyAlignment="1">
      <alignment horizontal="left" vertical="center"/>
    </xf>
    <xf numFmtId="49" fontId="52" fillId="5" borderId="61" xfId="65" applyNumberFormat="1" applyFont="1" applyFill="1" applyBorder="1" applyAlignment="1">
      <alignment horizontal="left" vertical="center"/>
    </xf>
    <xf numFmtId="49" fontId="52" fillId="5" borderId="61" xfId="65" applyNumberFormat="1" applyFont="1" applyFill="1" applyBorder="1" applyAlignment="1">
      <alignment horizontal="left" vertical="center" wrapText="1"/>
    </xf>
    <xf numFmtId="49" fontId="52" fillId="5" borderId="34" xfId="65" applyNumberFormat="1" applyFont="1" applyFill="1" applyBorder="1" applyAlignment="1">
      <alignment horizontal="left" vertical="center" wrapText="1"/>
    </xf>
    <xf numFmtId="49" fontId="52" fillId="0" borderId="0" xfId="0" applyNumberFormat="1" applyFont="1"/>
    <xf numFmtId="0" fontId="52" fillId="25" borderId="61" xfId="0" applyFont="1" applyFill="1" applyBorder="1"/>
    <xf numFmtId="0" fontId="52" fillId="25" borderId="61" xfId="0" applyFont="1" applyFill="1" applyBorder="1" applyAlignment="1">
      <alignment wrapText="1"/>
    </xf>
    <xf numFmtId="1" fontId="5" fillId="0" borderId="61" xfId="0" applyNumberFormat="1" applyFont="1" applyBorder="1"/>
    <xf numFmtId="0" fontId="5" fillId="5" borderId="61" xfId="65" quotePrefix="1" applyFont="1" applyFill="1" applyBorder="1" applyAlignment="1">
      <alignment horizontal="left" vertical="center" wrapText="1"/>
    </xf>
    <xf numFmtId="0" fontId="6" fillId="0" borderId="61" xfId="0" applyFont="1" applyBorder="1"/>
    <xf numFmtId="0" fontId="5" fillId="0" borderId="63" xfId="0" applyFont="1" applyBorder="1"/>
    <xf numFmtId="49" fontId="5" fillId="0" borderId="61" xfId="0" applyNumberFormat="1" applyFont="1" applyBorder="1" applyAlignment="1">
      <alignment horizontal="left"/>
    </xf>
    <xf numFmtId="0" fontId="5" fillId="0" borderId="61" xfId="0" applyFont="1" applyBorder="1" applyAlignment="1">
      <alignment horizontal="left"/>
    </xf>
    <xf numFmtId="49" fontId="52" fillId="5" borderId="61" xfId="65" quotePrefix="1" applyNumberFormat="1" applyFont="1" applyFill="1" applyBorder="1" applyAlignment="1">
      <alignment horizontal="left" vertical="center"/>
    </xf>
    <xf numFmtId="0" fontId="51" fillId="0" borderId="61" xfId="0" applyFont="1" applyBorder="1"/>
    <xf numFmtId="49" fontId="52" fillId="0" borderId="61" xfId="65" applyNumberFormat="1" applyFont="1" applyBorder="1" applyAlignment="1">
      <alignment horizontal="left" vertical="center" wrapText="1"/>
    </xf>
    <xf numFmtId="49" fontId="5" fillId="5" borderId="61" xfId="65" applyNumberFormat="1" applyFont="1" applyFill="1" applyBorder="1" applyAlignment="1">
      <alignment horizontal="left" vertical="center"/>
    </xf>
    <xf numFmtId="49" fontId="5" fillId="5" borderId="61" xfId="65" applyNumberFormat="1" applyFont="1" applyFill="1" applyBorder="1" applyAlignment="1">
      <alignment horizontal="left" vertical="center" wrapText="1"/>
    </xf>
    <xf numFmtId="169" fontId="52" fillId="5" borderId="61" xfId="111" applyNumberFormat="1" applyFont="1" applyFill="1" applyBorder="1" applyAlignment="1">
      <alignment vertical="center"/>
    </xf>
    <xf numFmtId="169" fontId="52" fillId="5" borderId="61" xfId="111" quotePrefix="1" applyNumberFormat="1" applyFont="1" applyFill="1" applyBorder="1" applyAlignment="1">
      <alignment vertical="center"/>
    </xf>
    <xf numFmtId="169" fontId="9" fillId="5" borderId="61" xfId="111" applyNumberFormat="1" applyFill="1" applyBorder="1" applyAlignment="1">
      <alignment vertical="center"/>
    </xf>
    <xf numFmtId="0" fontId="0" fillId="30" borderId="0" xfId="0" applyFill="1"/>
    <xf numFmtId="0" fontId="5" fillId="25" borderId="61" xfId="0" applyFont="1" applyFill="1" applyBorder="1" applyAlignment="1">
      <alignment horizontal="left" vertical="top" wrapText="1"/>
    </xf>
    <xf numFmtId="4" fontId="5" fillId="0" borderId="61" xfId="0" applyNumberFormat="1" applyFont="1" applyBorder="1" applyAlignment="1">
      <alignment horizontal="right"/>
    </xf>
    <xf numFmtId="0" fontId="5" fillId="0" borderId="25" xfId="0" applyFont="1" applyBorder="1"/>
    <xf numFmtId="0" fontId="5" fillId="22" borderId="37" xfId="0" applyFont="1" applyFill="1" applyBorder="1"/>
    <xf numFmtId="0" fontId="5" fillId="22" borderId="26" xfId="0" applyFont="1" applyFill="1" applyBorder="1"/>
    <xf numFmtId="0" fontId="5" fillId="22" borderId="40" xfId="0" applyFont="1" applyFill="1" applyBorder="1"/>
    <xf numFmtId="0" fontId="5" fillId="22" borderId="61" xfId="0" applyFont="1" applyFill="1" applyBorder="1"/>
    <xf numFmtId="0" fontId="0" fillId="21" borderId="0" xfId="0" applyFill="1"/>
    <xf numFmtId="0" fontId="58" fillId="21" borderId="0" xfId="0" applyFont="1" applyFill="1"/>
    <xf numFmtId="0" fontId="5" fillId="31" borderId="61" xfId="0" applyFont="1" applyFill="1" applyBorder="1"/>
    <xf numFmtId="2" fontId="5" fillId="31" borderId="61" xfId="0" applyNumberFormat="1" applyFont="1" applyFill="1" applyBorder="1"/>
    <xf numFmtId="0" fontId="5" fillId="31" borderId="0" xfId="0" applyFont="1" applyFill="1"/>
    <xf numFmtId="1" fontId="5" fillId="31" borderId="61" xfId="0" applyNumberFormat="1" applyFont="1" applyFill="1" applyBorder="1"/>
    <xf numFmtId="0" fontId="5" fillId="31" borderId="61" xfId="65" quotePrefix="1" applyFont="1" applyFill="1" applyBorder="1" applyAlignment="1">
      <alignment horizontal="left" vertical="center" wrapText="1"/>
    </xf>
    <xf numFmtId="0" fontId="5" fillId="31" borderId="57" xfId="0" applyFont="1" applyFill="1" applyBorder="1"/>
    <xf numFmtId="49" fontId="5" fillId="31" borderId="57" xfId="0" applyNumberFormat="1" applyFont="1" applyFill="1" applyBorder="1"/>
    <xf numFmtId="192" fontId="5" fillId="31" borderId="57" xfId="0" applyNumberFormat="1" applyFont="1" applyFill="1" applyBorder="1" applyAlignment="1">
      <alignment horizontal="right"/>
    </xf>
    <xf numFmtId="49" fontId="5" fillId="31" borderId="61" xfId="0" applyNumberFormat="1" applyFont="1" applyFill="1" applyBorder="1"/>
    <xf numFmtId="192" fontId="5" fillId="31" borderId="61" xfId="0" applyNumberFormat="1" applyFont="1" applyFill="1" applyBorder="1" applyAlignment="1">
      <alignment horizontal="right"/>
    </xf>
    <xf numFmtId="0" fontId="5" fillId="31" borderId="26" xfId="0" applyFont="1" applyFill="1" applyBorder="1"/>
    <xf numFmtId="0" fontId="5" fillId="31" borderId="40" xfId="0" applyFont="1" applyFill="1" applyBorder="1"/>
    <xf numFmtId="0" fontId="5" fillId="31" borderId="47" xfId="0" applyFont="1" applyFill="1" applyBorder="1"/>
    <xf numFmtId="0" fontId="5" fillId="31" borderId="48" xfId="0" applyFont="1" applyFill="1" applyBorder="1"/>
    <xf numFmtId="192" fontId="5" fillId="31" borderId="48" xfId="0" applyNumberFormat="1" applyFont="1" applyFill="1" applyBorder="1"/>
    <xf numFmtId="0" fontId="6" fillId="31" borderId="60" xfId="0" applyFont="1" applyFill="1" applyBorder="1"/>
    <xf numFmtId="0" fontId="5" fillId="31" borderId="63" xfId="0" applyFont="1" applyFill="1" applyBorder="1" applyAlignment="1">
      <alignment wrapText="1"/>
    </xf>
    <xf numFmtId="0" fontId="5" fillId="31" borderId="61" xfId="0" applyFont="1" applyFill="1" applyBorder="1" applyAlignment="1">
      <alignment wrapText="1"/>
    </xf>
    <xf numFmtId="0" fontId="5" fillId="31" borderId="37" xfId="0" applyFont="1" applyFill="1" applyBorder="1"/>
    <xf numFmtId="0" fontId="5" fillId="31" borderId="38" xfId="0" applyFont="1" applyFill="1" applyBorder="1"/>
    <xf numFmtId="0" fontId="0" fillId="31" borderId="0" xfId="0" applyFill="1"/>
    <xf numFmtId="0" fontId="5" fillId="31" borderId="25" xfId="0" applyFont="1" applyFill="1" applyBorder="1" applyAlignment="1">
      <alignment wrapText="1"/>
    </xf>
    <xf numFmtId="0" fontId="5" fillId="31" borderId="63" xfId="0" applyFont="1" applyFill="1" applyBorder="1"/>
    <xf numFmtId="49" fontId="5" fillId="31" borderId="61" xfId="0" applyNumberFormat="1" applyFont="1" applyFill="1" applyBorder="1" applyAlignment="1">
      <alignment horizontal="left"/>
    </xf>
    <xf numFmtId="0" fontId="52" fillId="31" borderId="23" xfId="65" applyFont="1" applyFill="1" applyBorder="1" applyAlignment="1">
      <alignment horizontal="left" vertical="center" wrapText="1"/>
    </xf>
    <xf numFmtId="0" fontId="5" fillId="31" borderId="61" xfId="0" applyFont="1" applyFill="1" applyBorder="1" applyAlignment="1">
      <alignment horizontal="left"/>
    </xf>
    <xf numFmtId="0" fontId="9" fillId="31" borderId="23" xfId="65" applyFill="1" applyBorder="1" applyAlignment="1">
      <alignment horizontal="left" vertical="center" wrapText="1"/>
    </xf>
    <xf numFmtId="0" fontId="5" fillId="31" borderId="61" xfId="0" quotePrefix="1" applyFont="1" applyFill="1" applyBorder="1" applyAlignment="1">
      <alignment horizontal="left"/>
    </xf>
    <xf numFmtId="4" fontId="5" fillId="31" borderId="61" xfId="0" applyNumberFormat="1" applyFont="1" applyFill="1" applyBorder="1" applyAlignment="1">
      <alignment horizontal="right"/>
    </xf>
    <xf numFmtId="49" fontId="5" fillId="31" borderId="61" xfId="65" quotePrefix="1" applyNumberFormat="1" applyFont="1" applyFill="1" applyBorder="1" applyAlignment="1">
      <alignment horizontal="left" vertical="center"/>
    </xf>
    <xf numFmtId="49" fontId="52" fillId="31" borderId="61" xfId="65" applyNumberFormat="1" applyFont="1" applyFill="1" applyBorder="1" applyAlignment="1">
      <alignment horizontal="left" vertical="center"/>
    </xf>
    <xf numFmtId="49" fontId="52" fillId="31" borderId="61" xfId="65" applyNumberFormat="1" applyFont="1" applyFill="1" applyBorder="1" applyAlignment="1">
      <alignment horizontal="left" vertical="center" wrapText="1"/>
    </xf>
    <xf numFmtId="0" fontId="5" fillId="31" borderId="34" xfId="0" applyFont="1" applyFill="1" applyBorder="1"/>
    <xf numFmtId="49" fontId="5" fillId="31" borderId="61" xfId="0" quotePrefix="1" applyNumberFormat="1" applyFont="1" applyFill="1" applyBorder="1" applyAlignment="1">
      <alignment horizontal="left"/>
    </xf>
    <xf numFmtId="0" fontId="5" fillId="0" borderId="86" xfId="0" applyFont="1" applyBorder="1"/>
    <xf numFmtId="49" fontId="5" fillId="0" borderId="86" xfId="0" applyNumberFormat="1" applyFont="1" applyBorder="1"/>
    <xf numFmtId="2" fontId="6" fillId="0" borderId="87" xfId="0" applyNumberFormat="1" applyFont="1" applyBorder="1"/>
    <xf numFmtId="0" fontId="5" fillId="0" borderId="87" xfId="0" applyFont="1" applyBorder="1"/>
    <xf numFmtId="0" fontId="5" fillId="0" borderId="90" xfId="0" applyFont="1" applyBorder="1"/>
    <xf numFmtId="0" fontId="5" fillId="31" borderId="86" xfId="0" applyFont="1" applyFill="1" applyBorder="1"/>
    <xf numFmtId="0" fontId="5" fillId="31" borderId="90" xfId="0" applyFont="1" applyFill="1" applyBorder="1"/>
    <xf numFmtId="49" fontId="5" fillId="31" borderId="86" xfId="0" applyNumberFormat="1" applyFont="1" applyFill="1" applyBorder="1"/>
    <xf numFmtId="0" fontId="5" fillId="31" borderId="87" xfId="0" applyFont="1" applyFill="1" applyBorder="1"/>
    <xf numFmtId="2" fontId="6" fillId="31" borderId="87" xfId="0" applyNumberFormat="1" applyFont="1" applyFill="1" applyBorder="1"/>
    <xf numFmtId="0" fontId="5" fillId="5" borderId="38" xfId="0" applyFont="1" applyFill="1" applyBorder="1"/>
    <xf numFmtId="0" fontId="5" fillId="5" borderId="90" xfId="0" applyFont="1" applyFill="1" applyBorder="1"/>
    <xf numFmtId="0" fontId="5" fillId="5" borderId="0" xfId="0" applyFont="1" applyFill="1" applyAlignment="1">
      <alignment wrapText="1"/>
    </xf>
    <xf numFmtId="0" fontId="5" fillId="23" borderId="0" xfId="0" applyFont="1" applyFill="1"/>
    <xf numFmtId="0" fontId="6" fillId="0" borderId="87" xfId="0" applyFont="1" applyBorder="1"/>
    <xf numFmtId="0" fontId="5" fillId="23" borderId="86" xfId="0" applyFont="1" applyFill="1" applyBorder="1"/>
    <xf numFmtId="0" fontId="5" fillId="31" borderId="89" xfId="0" applyFont="1" applyFill="1" applyBorder="1"/>
    <xf numFmtId="0" fontId="6" fillId="31" borderId="87" xfId="0" applyFont="1" applyFill="1" applyBorder="1"/>
    <xf numFmtId="0" fontId="5" fillId="5" borderId="86" xfId="0" applyFont="1" applyFill="1" applyBorder="1"/>
    <xf numFmtId="0" fontId="5" fillId="5" borderId="37" xfId="0" applyFont="1" applyFill="1" applyBorder="1"/>
    <xf numFmtId="0" fontId="5" fillId="5" borderId="26" xfId="0" applyFont="1" applyFill="1" applyBorder="1"/>
    <xf numFmtId="2" fontId="5" fillId="0" borderId="86" xfId="0" applyNumberFormat="1" applyFont="1" applyBorder="1"/>
    <xf numFmtId="0" fontId="6" fillId="31" borderId="61" xfId="0" applyFont="1" applyFill="1" applyBorder="1"/>
    <xf numFmtId="0" fontId="5" fillId="0" borderId="89" xfId="0" applyFont="1" applyBorder="1"/>
    <xf numFmtId="49" fontId="5" fillId="5" borderId="61" xfId="0" applyNumberFormat="1" applyFont="1" applyFill="1" applyBorder="1" applyAlignment="1">
      <alignment horizontal="left"/>
    </xf>
    <xf numFmtId="49" fontId="5" fillId="5" borderId="61" xfId="0" quotePrefix="1" applyNumberFormat="1" applyFont="1" applyFill="1" applyBorder="1" applyAlignment="1">
      <alignment horizontal="left"/>
    </xf>
    <xf numFmtId="0" fontId="5" fillId="5" borderId="89" xfId="0" applyFont="1" applyFill="1" applyBorder="1"/>
    <xf numFmtId="49" fontId="5" fillId="5" borderId="86" xfId="0" applyNumberFormat="1" applyFont="1" applyFill="1" applyBorder="1"/>
    <xf numFmtId="0" fontId="6" fillId="5" borderId="87" xfId="0" applyFont="1" applyFill="1" applyBorder="1"/>
    <xf numFmtId="0" fontId="5" fillId="5" borderId="39" xfId="0" applyFont="1" applyFill="1" applyBorder="1"/>
    <xf numFmtId="2" fontId="5" fillId="5" borderId="86" xfId="0" applyNumberFormat="1" applyFont="1" applyFill="1" applyBorder="1"/>
    <xf numFmtId="49" fontId="52" fillId="31" borderId="61" xfId="65" quotePrefix="1" applyNumberFormat="1" applyFont="1" applyFill="1" applyBorder="1" applyAlignment="1">
      <alignment horizontal="left" vertical="center"/>
    </xf>
    <xf numFmtId="49" fontId="5" fillId="5" borderId="0" xfId="0" applyNumberFormat="1" applyFont="1" applyFill="1"/>
    <xf numFmtId="2" fontId="5" fillId="5" borderId="0" xfId="0" applyNumberFormat="1" applyFont="1" applyFill="1"/>
    <xf numFmtId="0" fontId="6" fillId="5" borderId="0" xfId="0" applyFont="1" applyFill="1"/>
    <xf numFmtId="0" fontId="5" fillId="29" borderId="61" xfId="0" applyFont="1" applyFill="1" applyBorder="1"/>
    <xf numFmtId="0" fontId="51" fillId="31" borderId="61" xfId="0" applyFont="1" applyFill="1" applyBorder="1"/>
    <xf numFmtId="2" fontId="5" fillId="31" borderId="86" xfId="0" applyNumberFormat="1" applyFont="1" applyFill="1" applyBorder="1"/>
    <xf numFmtId="0" fontId="5" fillId="29" borderId="86" xfId="0" applyFont="1" applyFill="1" applyBorder="1"/>
    <xf numFmtId="0" fontId="0" fillId="32" borderId="0" xfId="0" applyFill="1"/>
    <xf numFmtId="0" fontId="5" fillId="0" borderId="86" xfId="0" applyFont="1" applyBorder="1" applyAlignment="1">
      <alignment wrapText="1"/>
    </xf>
    <xf numFmtId="0" fontId="5" fillId="0" borderId="88" xfId="0" applyFont="1" applyBorder="1"/>
    <xf numFmtId="49" fontId="52" fillId="0" borderId="86" xfId="65" applyNumberFormat="1" applyFont="1" applyBorder="1" applyAlignment="1">
      <alignment horizontal="left" vertical="center" wrapText="1"/>
    </xf>
    <xf numFmtId="0" fontId="52" fillId="0" borderId="86" xfId="65" applyFont="1" applyBorder="1" applyAlignment="1">
      <alignment vertical="center" wrapText="1"/>
    </xf>
    <xf numFmtId="49" fontId="52" fillId="5" borderId="0" xfId="65" applyNumberFormat="1" applyFont="1" applyFill="1" applyAlignment="1">
      <alignment horizontal="left" vertical="center" wrapText="1"/>
    </xf>
    <xf numFmtId="49" fontId="52" fillId="5" borderId="92" xfId="65" quotePrefix="1" applyNumberFormat="1" applyFont="1" applyFill="1" applyBorder="1" applyAlignment="1">
      <alignment horizontal="left" vertical="center"/>
    </xf>
    <xf numFmtId="0" fontId="5" fillId="0" borderId="26" xfId="0" applyFont="1" applyBorder="1"/>
    <xf numFmtId="0" fontId="5" fillId="0" borderId="93" xfId="0" applyFont="1" applyBorder="1"/>
    <xf numFmtId="0" fontId="5" fillId="5" borderId="93" xfId="0" applyFont="1" applyFill="1" applyBorder="1"/>
    <xf numFmtId="0" fontId="52" fillId="5" borderId="34" xfId="65" applyFont="1" applyFill="1" applyBorder="1" applyAlignment="1">
      <alignment vertical="center" wrapText="1"/>
    </xf>
    <xf numFmtId="49" fontId="52" fillId="5" borderId="94" xfId="65" applyNumberFormat="1" applyFont="1" applyFill="1" applyBorder="1" applyAlignment="1">
      <alignment horizontal="left" vertical="center"/>
    </xf>
    <xf numFmtId="49" fontId="52" fillId="5" borderId="76" xfId="65" applyNumberFormat="1" applyFont="1" applyFill="1" applyBorder="1" applyAlignment="1">
      <alignment horizontal="left" vertical="center"/>
    </xf>
    <xf numFmtId="0" fontId="5" fillId="31" borderId="88" xfId="0" applyFont="1" applyFill="1" applyBorder="1"/>
    <xf numFmtId="0" fontId="5" fillId="31" borderId="34" xfId="0" applyFont="1" applyFill="1" applyBorder="1" applyAlignment="1">
      <alignment wrapText="1"/>
    </xf>
    <xf numFmtId="0" fontId="5" fillId="31" borderId="93" xfId="0" applyFont="1" applyFill="1" applyBorder="1"/>
    <xf numFmtId="49" fontId="5" fillId="31" borderId="88" xfId="0" applyNumberFormat="1" applyFont="1" applyFill="1" applyBorder="1"/>
    <xf numFmtId="49" fontId="5" fillId="21" borderId="0" xfId="0" applyNumberFormat="1" applyFont="1" applyFill="1"/>
    <xf numFmtId="0" fontId="5" fillId="30" borderId="33" xfId="0" applyFont="1" applyFill="1" applyBorder="1"/>
    <xf numFmtId="0" fontId="5" fillId="30" borderId="61" xfId="0" applyFont="1" applyFill="1" applyBorder="1"/>
    <xf numFmtId="0" fontId="5" fillId="30" borderId="61" xfId="0" applyFont="1" applyFill="1" applyBorder="1" applyAlignment="1">
      <alignment wrapText="1"/>
    </xf>
    <xf numFmtId="0" fontId="20" fillId="21" borderId="0" xfId="0" applyFont="1" applyFill="1"/>
    <xf numFmtId="0" fontId="52" fillId="30" borderId="61" xfId="0" applyFont="1" applyFill="1" applyBorder="1" applyAlignment="1">
      <alignment wrapText="1"/>
    </xf>
    <xf numFmtId="0" fontId="5" fillId="24" borderId="95" xfId="0" applyFont="1" applyFill="1" applyBorder="1"/>
    <xf numFmtId="0" fontId="5" fillId="24" borderId="53" xfId="0" applyFont="1" applyFill="1" applyBorder="1"/>
    <xf numFmtId="0" fontId="5" fillId="24" borderId="57" xfId="0" applyFont="1" applyFill="1" applyBorder="1"/>
    <xf numFmtId="0" fontId="5" fillId="24" borderId="57" xfId="0" applyFont="1" applyFill="1" applyBorder="1" applyAlignment="1">
      <alignment wrapText="1"/>
    </xf>
    <xf numFmtId="0" fontId="5" fillId="24" borderId="95" xfId="0" applyFont="1" applyFill="1" applyBorder="1" applyAlignment="1">
      <alignment wrapText="1"/>
    </xf>
    <xf numFmtId="0" fontId="5" fillId="25" borderId="96" xfId="0" applyFont="1" applyFill="1" applyBorder="1"/>
    <xf numFmtId="0" fontId="5" fillId="5" borderId="60" xfId="0" applyFont="1" applyFill="1" applyBorder="1"/>
    <xf numFmtId="0" fontId="5" fillId="25" borderId="60" xfId="0" applyFont="1" applyFill="1" applyBorder="1" applyAlignment="1">
      <alignment wrapText="1"/>
    </xf>
    <xf numFmtId="0" fontId="5" fillId="24" borderId="53" xfId="0" applyFont="1" applyFill="1" applyBorder="1" applyAlignment="1">
      <alignment wrapText="1"/>
    </xf>
    <xf numFmtId="0" fontId="6" fillId="33" borderId="0" xfId="0" applyFont="1" applyFill="1"/>
    <xf numFmtId="0" fontId="6" fillId="33" borderId="0" xfId="0" applyFont="1" applyFill="1" applyAlignment="1">
      <alignment wrapText="1"/>
    </xf>
    <xf numFmtId="0" fontId="5" fillId="33" borderId="0" xfId="0" applyFont="1" applyFill="1"/>
    <xf numFmtId="0" fontId="0" fillId="0" borderId="86" xfId="0" applyBorder="1"/>
    <xf numFmtId="49" fontId="0" fillId="0" borderId="86" xfId="0" applyNumberFormat="1" applyBorder="1"/>
    <xf numFmtId="0" fontId="5" fillId="31" borderId="86" xfId="0" applyFont="1" applyFill="1" applyBorder="1" applyAlignment="1">
      <alignment horizontal="left" wrapText="1"/>
    </xf>
    <xf numFmtId="49" fontId="52" fillId="31" borderId="86" xfId="65" applyNumberFormat="1" applyFont="1" applyFill="1" applyBorder="1" applyAlignment="1">
      <alignment horizontal="left" vertical="center" wrapText="1"/>
    </xf>
    <xf numFmtId="0" fontId="5" fillId="5" borderId="37" xfId="0" applyFont="1" applyFill="1" applyBorder="1" applyAlignment="1">
      <alignment wrapText="1"/>
    </xf>
    <xf numFmtId="0" fontId="0" fillId="0" borderId="90" xfId="0" applyBorder="1"/>
    <xf numFmtId="0" fontId="5" fillId="34" borderId="33" xfId="0" applyFont="1" applyFill="1" applyBorder="1"/>
    <xf numFmtId="0" fontId="5" fillId="34" borderId="61" xfId="0" applyFont="1" applyFill="1" applyBorder="1"/>
    <xf numFmtId="0" fontId="5" fillId="34" borderId="61" xfId="0" applyFont="1" applyFill="1" applyBorder="1" applyAlignment="1">
      <alignment wrapText="1"/>
    </xf>
    <xf numFmtId="0" fontId="5" fillId="31" borderId="86" xfId="0" applyFont="1" applyFill="1" applyBorder="1" applyAlignment="1">
      <alignment wrapText="1"/>
    </xf>
    <xf numFmtId="0" fontId="5" fillId="31" borderId="89" xfId="0" applyFont="1" applyFill="1" applyBorder="1" applyAlignment="1">
      <alignment wrapText="1"/>
    </xf>
    <xf numFmtId="0" fontId="5" fillId="35" borderId="61" xfId="0" applyFont="1" applyFill="1" applyBorder="1"/>
    <xf numFmtId="1" fontId="5" fillId="35" borderId="61" xfId="0" applyNumberFormat="1" applyFont="1" applyFill="1" applyBorder="1"/>
    <xf numFmtId="165" fontId="0" fillId="35" borderId="61" xfId="0" applyNumberFormat="1" applyFill="1" applyBorder="1"/>
    <xf numFmtId="0" fontId="0" fillId="35" borderId="61" xfId="0" applyFill="1" applyBorder="1"/>
    <xf numFmtId="0" fontId="0" fillId="5" borderId="0" xfId="0" applyFill="1" applyAlignment="1">
      <alignment horizontal="center" vertical="center"/>
    </xf>
    <xf numFmtId="0" fontId="5" fillId="24" borderId="40" xfId="0" applyFont="1" applyFill="1" applyBorder="1"/>
    <xf numFmtId="0" fontId="5" fillId="24" borderId="97" xfId="0" applyFont="1" applyFill="1" applyBorder="1"/>
    <xf numFmtId="0" fontId="5" fillId="24" borderId="25" xfId="0" applyFont="1" applyFill="1" applyBorder="1" applyAlignment="1">
      <alignment wrapText="1"/>
    </xf>
    <xf numFmtId="0" fontId="5" fillId="21" borderId="61" xfId="0" applyFont="1" applyFill="1" applyBorder="1"/>
    <xf numFmtId="0" fontId="52" fillId="35" borderId="61" xfId="0" applyFont="1" applyFill="1" applyBorder="1"/>
    <xf numFmtId="1" fontId="0" fillId="35" borderId="61" xfId="0" applyNumberFormat="1" applyFill="1" applyBorder="1"/>
    <xf numFmtId="2" fontId="6" fillId="21" borderId="0" xfId="0" applyNumberFormat="1" applyFont="1" applyFill="1"/>
    <xf numFmtId="1" fontId="5" fillId="21" borderId="61" xfId="0" applyNumberFormat="1" applyFont="1" applyFill="1" applyBorder="1"/>
    <xf numFmtId="1" fontId="5" fillId="25" borderId="64" xfId="0" applyNumberFormat="1" applyFont="1" applyFill="1" applyBorder="1"/>
    <xf numFmtId="1" fontId="5" fillId="25" borderId="54" xfId="0" applyNumberFormat="1" applyFont="1" applyFill="1" applyBorder="1"/>
    <xf numFmtId="1" fontId="5" fillId="34" borderId="64" xfId="0" applyNumberFormat="1" applyFont="1" applyFill="1" applyBorder="1"/>
    <xf numFmtId="1" fontId="5" fillId="25" borderId="78" xfId="0" applyNumberFormat="1" applyFont="1" applyFill="1" applyBorder="1"/>
    <xf numFmtId="0" fontId="5" fillId="25" borderId="66" xfId="0" applyFont="1" applyFill="1" applyBorder="1" applyAlignment="1">
      <alignment vertical="top" wrapText="1"/>
    </xf>
    <xf numFmtId="0" fontId="0" fillId="0" borderId="0" xfId="0" applyAlignment="1">
      <alignment horizontal="center" vertical="center" wrapText="1"/>
    </xf>
    <xf numFmtId="0" fontId="5" fillId="24" borderId="99" xfId="0" applyFont="1" applyFill="1" applyBorder="1"/>
    <xf numFmtId="0" fontId="5" fillId="24" borderId="41" xfId="0" applyFont="1" applyFill="1" applyBorder="1"/>
    <xf numFmtId="0" fontId="5" fillId="25" borderId="63" xfId="0" applyFont="1" applyFill="1" applyBorder="1" applyAlignment="1">
      <alignment wrapText="1"/>
    </xf>
    <xf numFmtId="0" fontId="6" fillId="25" borderId="56" xfId="0" applyFont="1" applyFill="1" applyBorder="1" applyAlignment="1">
      <alignment wrapText="1"/>
    </xf>
    <xf numFmtId="0" fontId="6" fillId="25" borderId="77" xfId="0" applyFont="1" applyFill="1" applyBorder="1" applyAlignment="1">
      <alignment wrapText="1"/>
    </xf>
    <xf numFmtId="0" fontId="6" fillId="25" borderId="50" xfId="0" applyFont="1" applyFill="1" applyBorder="1" applyAlignment="1">
      <alignment wrapText="1"/>
    </xf>
    <xf numFmtId="0" fontId="11" fillId="3" borderId="6" xfId="65" applyFont="1" applyFill="1" applyBorder="1" applyAlignment="1">
      <alignment horizontal="right" vertical="center"/>
    </xf>
    <xf numFmtId="0" fontId="9" fillId="5" borderId="12" xfId="65" applyFill="1" applyBorder="1" applyAlignment="1">
      <alignment horizontal="left" vertical="center"/>
    </xf>
    <xf numFmtId="0" fontId="14" fillId="5" borderId="101" xfId="65" applyFont="1" applyFill="1" applyBorder="1" applyAlignment="1">
      <alignment vertical="center"/>
    </xf>
    <xf numFmtId="0" fontId="20" fillId="5" borderId="102" xfId="65" applyFont="1" applyFill="1" applyBorder="1" applyAlignment="1">
      <alignment vertical="center" wrapText="1"/>
    </xf>
    <xf numFmtId="0" fontId="21" fillId="6" borderId="17" xfId="65" applyFont="1" applyFill="1" applyBorder="1" applyAlignment="1">
      <alignment horizontal="center" vertical="center" wrapText="1"/>
    </xf>
    <xf numFmtId="0" fontId="21" fillId="5" borderId="17" xfId="65" applyFont="1" applyFill="1" applyBorder="1" applyAlignment="1">
      <alignment horizontal="center" vertical="center" wrapText="1"/>
    </xf>
    <xf numFmtId="0" fontId="9" fillId="5" borderId="19" xfId="0" applyFont="1" applyFill="1" applyBorder="1" applyAlignment="1">
      <alignment horizontal="center" vertical="center" wrapText="1"/>
    </xf>
    <xf numFmtId="0" fontId="16" fillId="5" borderId="19" xfId="65" applyFont="1" applyFill="1" applyBorder="1" applyAlignment="1">
      <alignment horizontal="left" vertical="center" wrapText="1"/>
    </xf>
    <xf numFmtId="0" fontId="20" fillId="5" borderId="103" xfId="65" applyFont="1" applyFill="1" applyBorder="1" applyAlignment="1">
      <alignment vertical="center" wrapText="1"/>
    </xf>
    <xf numFmtId="168" fontId="24" fillId="7" borderId="23" xfId="111" quotePrefix="1" applyNumberFormat="1" applyFont="1" applyFill="1" applyBorder="1" applyAlignment="1">
      <alignment horizontal="left" vertical="center" wrapText="1"/>
    </xf>
    <xf numFmtId="0" fontId="26" fillId="11" borderId="23" xfId="111" quotePrefix="1" applyFont="1" applyFill="1" applyBorder="1" applyAlignment="1">
      <alignment horizontal="left" vertical="center" wrapText="1"/>
    </xf>
    <xf numFmtId="0" fontId="26" fillId="27" borderId="23" xfId="111" quotePrefix="1" applyFont="1" applyFill="1" applyBorder="1" applyAlignment="1">
      <alignment horizontal="left" vertical="center" wrapText="1"/>
    </xf>
    <xf numFmtId="0" fontId="9" fillId="5" borderId="12" xfId="65" applyFill="1" applyBorder="1" applyAlignment="1">
      <alignment horizontal="left"/>
    </xf>
    <xf numFmtId="199" fontId="9" fillId="5" borderId="0" xfId="111" applyNumberFormat="1" applyFill="1"/>
    <xf numFmtId="0" fontId="5" fillId="0" borderId="33" xfId="0" applyFont="1" applyBorder="1"/>
    <xf numFmtId="0" fontId="5" fillId="0" borderId="96" xfId="0" applyFont="1" applyBorder="1"/>
    <xf numFmtId="0" fontId="5" fillId="0" borderId="37" xfId="0" applyFont="1" applyBorder="1"/>
    <xf numFmtId="0" fontId="5" fillId="25" borderId="104" xfId="0" applyFont="1" applyFill="1" applyBorder="1"/>
    <xf numFmtId="0" fontId="5" fillId="25" borderId="60" xfId="0" applyFont="1" applyFill="1" applyBorder="1" applyAlignment="1">
      <alignment horizontal="left" vertical="top" wrapText="1"/>
    </xf>
    <xf numFmtId="0" fontId="5" fillId="25" borderId="41" xfId="0" applyFont="1" applyFill="1" applyBorder="1"/>
    <xf numFmtId="2" fontId="5" fillId="31" borderId="0" xfId="0" applyNumberFormat="1" applyFont="1" applyFill="1"/>
    <xf numFmtId="0" fontId="10" fillId="3" borderId="16" xfId="0" applyFont="1" applyFill="1" applyBorder="1" applyAlignment="1">
      <alignment horizontal="center"/>
    </xf>
    <xf numFmtId="0" fontId="10" fillId="3" borderId="5" xfId="0" applyFont="1" applyFill="1" applyBorder="1" applyAlignment="1">
      <alignment horizontal="center"/>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5" xfId="0" applyFont="1" applyFill="1" applyBorder="1" applyAlignment="1">
      <alignment horizontal="center"/>
    </xf>
    <xf numFmtId="3" fontId="11" fillId="3" borderId="5" xfId="0" applyNumberFormat="1" applyFont="1" applyFill="1" applyBorder="1" applyAlignment="1">
      <alignment horizontal="center"/>
    </xf>
    <xf numFmtId="3" fontId="10" fillId="3" borderId="5" xfId="0" applyNumberFormat="1" applyFont="1" applyFill="1" applyBorder="1" applyAlignment="1">
      <alignment horizontal="center"/>
    </xf>
    <xf numFmtId="167" fontId="10" fillId="3" borderId="5" xfId="0" applyNumberFormat="1" applyFont="1" applyFill="1" applyBorder="1" applyAlignment="1">
      <alignment horizontal="center"/>
    </xf>
    <xf numFmtId="0" fontId="11" fillId="3" borderId="6" xfId="0" applyFont="1" applyFill="1" applyBorder="1" applyAlignment="1">
      <alignment horizontal="right"/>
    </xf>
    <xf numFmtId="0" fontId="12" fillId="3" borderId="7" xfId="0" applyFont="1" applyFill="1" applyBorder="1" applyAlignment="1">
      <alignment horizontal="center"/>
    </xf>
    <xf numFmtId="0" fontId="12" fillId="3" borderId="9" xfId="0" applyFont="1" applyFill="1" applyBorder="1" applyAlignment="1">
      <alignment horizontal="center"/>
    </xf>
    <xf numFmtId="0" fontId="13" fillId="3" borderId="10" xfId="0" applyFont="1" applyFill="1" applyBorder="1" applyAlignment="1">
      <alignment horizontal="right"/>
    </xf>
    <xf numFmtId="0" fontId="14" fillId="5" borderId="13" xfId="0"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20" fillId="5" borderId="17" xfId="0" applyFont="1" applyFill="1" applyBorder="1" applyAlignment="1">
      <alignment vertical="center" wrapText="1"/>
    </xf>
    <xf numFmtId="3" fontId="21" fillId="6" borderId="13" xfId="0" applyNumberFormat="1" applyFont="1" applyFill="1" applyBorder="1" applyAlignment="1">
      <alignment horizontal="center" vertical="center" wrapText="1"/>
    </xf>
    <xf numFmtId="3" fontId="18" fillId="6" borderId="13" xfId="0" applyNumberFormat="1" applyFont="1" applyFill="1" applyBorder="1" applyAlignment="1">
      <alignment horizontal="center" vertical="center" wrapText="1"/>
    </xf>
    <xf numFmtId="3" fontId="21" fillId="5" borderId="13" xfId="0" applyNumberFormat="1" applyFont="1" applyFill="1" applyBorder="1" applyAlignment="1">
      <alignment horizontal="center" vertical="center" wrapText="1"/>
    </xf>
    <xf numFmtId="3" fontId="18" fillId="5" borderId="13" xfId="0" applyNumberFormat="1" applyFont="1" applyFill="1" applyBorder="1" applyAlignment="1">
      <alignment horizontal="center" vertical="center" wrapText="1"/>
    </xf>
    <xf numFmtId="167" fontId="21" fillId="5" borderId="13" xfId="0" applyNumberFormat="1" applyFont="1" applyFill="1" applyBorder="1" applyAlignment="1">
      <alignment horizontal="center" vertical="center" wrapText="1"/>
    </xf>
    <xf numFmtId="167" fontId="18" fillId="5" borderId="13" xfId="0" applyNumberFormat="1"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6" fillId="5" borderId="17" xfId="0" applyFont="1" applyFill="1" applyBorder="1" applyAlignment="1">
      <alignment horizontal="left" vertical="center" wrapText="1"/>
    </xf>
    <xf numFmtId="3" fontId="21" fillId="6" borderId="17" xfId="0" applyNumberFormat="1" applyFont="1" applyFill="1" applyBorder="1" applyAlignment="1">
      <alignment horizontal="center" vertical="center" wrapText="1"/>
    </xf>
    <xf numFmtId="3" fontId="18" fillId="6" borderId="17" xfId="0" applyNumberFormat="1" applyFont="1" applyFill="1" applyBorder="1" applyAlignment="1">
      <alignment horizontal="center" vertical="center" wrapText="1"/>
    </xf>
    <xf numFmtId="3" fontId="21" fillId="5" borderId="17" xfId="0" applyNumberFormat="1" applyFont="1" applyFill="1" applyBorder="1" applyAlignment="1">
      <alignment horizontal="center" vertical="center" wrapText="1"/>
    </xf>
    <xf numFmtId="3" fontId="18" fillId="5" borderId="17" xfId="0" applyNumberFormat="1" applyFont="1" applyFill="1" applyBorder="1" applyAlignment="1">
      <alignment horizontal="center" vertical="center" wrapText="1"/>
    </xf>
    <xf numFmtId="167" fontId="21" fillId="5" borderId="17" xfId="0" applyNumberFormat="1" applyFont="1" applyFill="1" applyBorder="1" applyAlignment="1">
      <alignment horizontal="center" vertical="center" wrapText="1"/>
    </xf>
    <xf numFmtId="167" fontId="18" fillId="5" borderId="17" xfId="0" applyNumberFormat="1" applyFont="1" applyFill="1" applyBorder="1" applyAlignment="1">
      <alignment horizontal="center" vertical="center" wrapText="1"/>
    </xf>
    <xf numFmtId="0" fontId="20" fillId="5" borderId="19" xfId="0" applyFont="1" applyFill="1" applyBorder="1" applyAlignment="1">
      <alignment vertical="top" wrapText="1"/>
    </xf>
    <xf numFmtId="0" fontId="17" fillId="5" borderId="19" xfId="0" applyFont="1" applyFill="1" applyBorder="1" applyAlignment="1">
      <alignment horizontal="center" vertical="top" wrapText="1"/>
    </xf>
    <xf numFmtId="0" fontId="17" fillId="5" borderId="19" xfId="0" applyFont="1" applyFill="1" applyBorder="1" applyAlignment="1">
      <alignment vertical="top" wrapText="1"/>
    </xf>
    <xf numFmtId="3" fontId="18" fillId="6" borderId="19" xfId="0" applyNumberFormat="1" applyFont="1" applyFill="1" applyBorder="1" applyAlignment="1">
      <alignment horizontal="center" vertical="center" wrapText="1"/>
    </xf>
    <xf numFmtId="0" fontId="20" fillId="5" borderId="19" xfId="0" applyFont="1" applyFill="1" applyBorder="1" applyAlignment="1">
      <alignment horizontal="center" vertical="top" wrapText="1"/>
    </xf>
    <xf numFmtId="168" fontId="24" fillId="7" borderId="23" xfId="111" quotePrefix="1" applyNumberFormat="1" applyFont="1" applyFill="1" applyBorder="1" applyAlignment="1">
      <alignment vertical="center" wrapText="1"/>
    </xf>
    <xf numFmtId="0" fontId="26" fillId="5" borderId="13" xfId="111" quotePrefix="1" applyFont="1" applyFill="1" applyBorder="1" applyAlignment="1">
      <alignment horizontal="left" vertical="center" wrapText="1"/>
    </xf>
    <xf numFmtId="0" fontId="9" fillId="5" borderId="0" xfId="0" applyFont="1" applyFill="1" applyAlignment="1">
      <alignment horizontal="center"/>
    </xf>
    <xf numFmtId="3" fontId="9" fillId="5" borderId="0" xfId="0" applyNumberFormat="1" applyFont="1" applyFill="1" applyAlignment="1">
      <alignment horizontal="center"/>
    </xf>
    <xf numFmtId="167" fontId="9" fillId="5" borderId="0" xfId="0" applyNumberFormat="1" applyFont="1" applyFill="1" applyAlignment="1">
      <alignment horizontal="center"/>
    </xf>
    <xf numFmtId="0" fontId="9" fillId="5" borderId="0" xfId="0" applyFont="1" applyFill="1" applyAlignment="1">
      <alignment horizontal="left"/>
    </xf>
    <xf numFmtId="3" fontId="9" fillId="5" borderId="0" xfId="0" applyNumberFormat="1" applyFont="1" applyFill="1"/>
    <xf numFmtId="167" fontId="9" fillId="5" borderId="0" xfId="0" applyNumberFormat="1" applyFont="1" applyFill="1"/>
    <xf numFmtId="0" fontId="24" fillId="7" borderId="23" xfId="111" quotePrefix="1" applyFont="1" applyFill="1" applyBorder="1" applyAlignment="1">
      <alignment vertical="center" wrapText="1"/>
    </xf>
    <xf numFmtId="0" fontId="10" fillId="3" borderId="5" xfId="65" applyFont="1" applyFill="1" applyBorder="1" applyAlignment="1">
      <alignment horizontal="left"/>
    </xf>
    <xf numFmtId="0" fontId="12" fillId="3" borderId="105" xfId="65" applyFont="1" applyFill="1" applyBorder="1"/>
    <xf numFmtId="0" fontId="18" fillId="5" borderId="18" xfId="65" applyFont="1" applyFill="1" applyBorder="1" applyAlignment="1">
      <alignment wrapText="1"/>
    </xf>
    <xf numFmtId="0" fontId="9" fillId="5" borderId="18" xfId="65" applyFill="1" applyBorder="1"/>
    <xf numFmtId="0" fontId="18" fillId="5" borderId="18" xfId="65" applyFont="1" applyFill="1" applyBorder="1" applyAlignment="1">
      <alignment vertical="center"/>
    </xf>
    <xf numFmtId="0" fontId="18" fillId="5" borderId="7" xfId="65" applyFont="1" applyFill="1" applyBorder="1" applyAlignment="1">
      <alignment vertical="center"/>
    </xf>
    <xf numFmtId="11" fontId="11" fillId="3" borderId="4" xfId="0" applyNumberFormat="1" applyFont="1" applyFill="1" applyBorder="1" applyAlignment="1">
      <alignment horizontal="left"/>
    </xf>
    <xf numFmtId="11" fontId="11" fillId="3" borderId="5" xfId="0" applyNumberFormat="1" applyFont="1" applyFill="1" applyBorder="1" applyAlignment="1">
      <alignment horizontal="center"/>
    </xf>
    <xf numFmtId="11" fontId="10" fillId="3" borderId="5" xfId="0" applyNumberFormat="1" applyFont="1" applyFill="1" applyBorder="1" applyAlignment="1">
      <alignment horizontal="left"/>
    </xf>
    <xf numFmtId="11" fontId="11" fillId="3" borderId="5" xfId="0" applyNumberFormat="1" applyFont="1" applyFill="1" applyBorder="1" applyAlignment="1">
      <alignment horizontal="left"/>
    </xf>
    <xf numFmtId="11" fontId="11" fillId="3" borderId="6" xfId="0" applyNumberFormat="1" applyFont="1" applyFill="1" applyBorder="1" applyAlignment="1">
      <alignment horizontal="right"/>
    </xf>
    <xf numFmtId="0" fontId="13" fillId="3" borderId="21" xfId="0" applyFont="1" applyFill="1" applyBorder="1" applyAlignment="1">
      <alignment horizontal="left"/>
    </xf>
    <xf numFmtId="11" fontId="12" fillId="3" borderId="9" xfId="0" applyNumberFormat="1" applyFont="1" applyFill="1" applyBorder="1"/>
    <xf numFmtId="11" fontId="17" fillId="5" borderId="29" xfId="0" applyNumberFormat="1" applyFont="1" applyFill="1" applyBorder="1" applyAlignment="1">
      <alignment horizontal="centerContinuous" vertical="center" wrapText="1"/>
    </xf>
    <xf numFmtId="11" fontId="17" fillId="5" borderId="30" xfId="0" applyNumberFormat="1" applyFont="1" applyFill="1" applyBorder="1" applyAlignment="1">
      <alignment horizontal="centerContinuous" vertical="center" wrapText="1"/>
    </xf>
    <xf numFmtId="11" fontId="17" fillId="5" borderId="23" xfId="0" applyNumberFormat="1" applyFont="1" applyFill="1" applyBorder="1" applyAlignment="1">
      <alignment horizontal="center" vertical="center" wrapText="1"/>
    </xf>
    <xf numFmtId="11" fontId="17" fillId="5" borderId="13" xfId="0" applyNumberFormat="1" applyFont="1" applyFill="1" applyBorder="1" applyAlignment="1">
      <alignment horizontal="center" vertical="top" wrapText="1"/>
    </xf>
    <xf numFmtId="0" fontId="9" fillId="5" borderId="13" xfId="0" applyFont="1" applyFill="1" applyBorder="1"/>
    <xf numFmtId="0" fontId="14" fillId="5" borderId="13" xfId="0" applyFont="1" applyFill="1" applyBorder="1" applyAlignment="1">
      <alignment horizontal="center"/>
    </xf>
    <xf numFmtId="11" fontId="20" fillId="5" borderId="18" xfId="0" applyNumberFormat="1" applyFont="1" applyFill="1" applyBorder="1" applyAlignment="1">
      <alignment vertical="top" wrapText="1"/>
    </xf>
    <xf numFmtId="11" fontId="20" fillId="5" borderId="17" xfId="0" applyNumberFormat="1" applyFont="1" applyFill="1" applyBorder="1" applyAlignment="1">
      <alignment horizontal="center" vertical="top" wrapText="1"/>
    </xf>
    <xf numFmtId="11" fontId="21" fillId="5" borderId="17" xfId="0" applyNumberFormat="1" applyFont="1" applyFill="1" applyBorder="1" applyAlignment="1">
      <alignment vertical="top" wrapText="1"/>
    </xf>
    <xf numFmtId="11" fontId="21" fillId="6" borderId="13" xfId="0" applyNumberFormat="1" applyFont="1" applyFill="1" applyBorder="1" applyAlignment="1">
      <alignment horizontal="center" vertical="center" wrapText="1"/>
    </xf>
    <xf numFmtId="11" fontId="18" fillId="6" borderId="13" xfId="0" applyNumberFormat="1" applyFont="1" applyFill="1" applyBorder="1" applyAlignment="1">
      <alignment horizontal="center" vertical="center" wrapText="1"/>
    </xf>
    <xf numFmtId="11" fontId="18" fillId="10" borderId="13" xfId="0" applyNumberFormat="1" applyFont="1" applyFill="1" applyBorder="1" applyAlignment="1">
      <alignment horizontal="center" vertical="center" wrapText="1"/>
    </xf>
    <xf numFmtId="11" fontId="21" fillId="5" borderId="6" xfId="0" applyNumberFormat="1" applyFont="1" applyFill="1" applyBorder="1" applyAlignment="1">
      <alignment horizontal="center" vertical="center" wrapText="1"/>
    </xf>
    <xf numFmtId="11" fontId="18" fillId="5" borderId="13" xfId="0" applyNumberFormat="1" applyFont="1" applyFill="1" applyBorder="1" applyAlignment="1">
      <alignment horizontal="center" vertical="center" wrapText="1"/>
    </xf>
    <xf numFmtId="11" fontId="21" fillId="5" borderId="13" xfId="0" applyNumberFormat="1" applyFont="1" applyFill="1" applyBorder="1" applyAlignment="1">
      <alignment horizontal="center" vertical="center" wrapText="1"/>
    </xf>
    <xf numFmtId="11" fontId="20" fillId="5" borderId="13" xfId="0" applyNumberFormat="1" applyFont="1" applyFill="1" applyBorder="1" applyAlignment="1">
      <alignment horizontal="center" vertical="top" wrapText="1"/>
    </xf>
    <xf numFmtId="11" fontId="16" fillId="5" borderId="17" xfId="0" applyNumberFormat="1" applyFont="1" applyFill="1" applyBorder="1" applyAlignment="1">
      <alignment horizontal="left" vertical="center" wrapText="1"/>
    </xf>
    <xf numFmtId="11" fontId="17" fillId="5" borderId="17" xfId="0" applyNumberFormat="1" applyFont="1" applyFill="1" applyBorder="1" applyAlignment="1">
      <alignment vertical="top" wrapText="1"/>
    </xf>
    <xf numFmtId="11" fontId="21" fillId="6" borderId="17" xfId="0" applyNumberFormat="1" applyFont="1" applyFill="1" applyBorder="1" applyAlignment="1">
      <alignment horizontal="center" vertical="center" wrapText="1"/>
    </xf>
    <xf numFmtId="11" fontId="18" fillId="6" borderId="17" xfId="0" applyNumberFormat="1" applyFont="1" applyFill="1" applyBorder="1" applyAlignment="1">
      <alignment horizontal="center" vertical="center" wrapText="1"/>
    </xf>
    <xf numFmtId="11" fontId="21" fillId="5" borderId="12" xfId="0" applyNumberFormat="1" applyFont="1" applyFill="1" applyBorder="1" applyAlignment="1">
      <alignment horizontal="center" vertical="center" wrapText="1"/>
    </xf>
    <xf numFmtId="11" fontId="18" fillId="5" borderId="17" xfId="0" applyNumberFormat="1" applyFont="1" applyFill="1" applyBorder="1" applyAlignment="1">
      <alignment horizontal="center" vertical="center" wrapText="1"/>
    </xf>
    <xf numFmtId="11" fontId="21" fillId="5" borderId="17" xfId="0" applyNumberFormat="1" applyFont="1" applyFill="1" applyBorder="1" applyAlignment="1">
      <alignment horizontal="center" vertical="center" wrapText="1"/>
    </xf>
    <xf numFmtId="11" fontId="20" fillId="5" borderId="7" xfId="0" applyNumberFormat="1" applyFont="1" applyFill="1" applyBorder="1" applyAlignment="1">
      <alignment vertical="top" wrapText="1"/>
    </xf>
    <xf numFmtId="11" fontId="20" fillId="5" borderId="19" xfId="0" applyNumberFormat="1" applyFont="1" applyFill="1" applyBorder="1" applyAlignment="1">
      <alignment horizontal="center" vertical="top" wrapText="1"/>
    </xf>
    <xf numFmtId="11" fontId="17" fillId="5" borderId="19" xfId="0" applyNumberFormat="1" applyFont="1" applyFill="1" applyBorder="1" applyAlignment="1">
      <alignment vertical="top" wrapText="1"/>
    </xf>
    <xf numFmtId="11" fontId="18" fillId="6" borderId="19" xfId="0" applyNumberFormat="1" applyFont="1" applyFill="1" applyBorder="1" applyAlignment="1">
      <alignment horizontal="center" vertical="center" wrapText="1"/>
    </xf>
    <xf numFmtId="3" fontId="18" fillId="5" borderId="10" xfId="0" applyNumberFormat="1" applyFont="1" applyFill="1" applyBorder="1" applyAlignment="1">
      <alignment horizontal="center" vertical="center" wrapText="1"/>
    </xf>
    <xf numFmtId="11" fontId="16" fillId="5" borderId="19" xfId="0" applyNumberFormat="1" applyFont="1" applyFill="1" applyBorder="1" applyAlignment="1">
      <alignment horizontal="left" vertical="center" wrapText="1"/>
    </xf>
    <xf numFmtId="11" fontId="37" fillId="5" borderId="0" xfId="0" applyNumberFormat="1" applyFont="1" applyFill="1" applyAlignment="1">
      <alignment vertical="center" wrapText="1"/>
    </xf>
    <xf numFmtId="11" fontId="37" fillId="5" borderId="0" xfId="0" applyNumberFormat="1" applyFont="1" applyFill="1" applyAlignment="1">
      <alignment horizontal="center" vertical="center" wrapText="1"/>
    </xf>
    <xf numFmtId="11" fontId="17" fillId="5" borderId="0" xfId="0" applyNumberFormat="1" applyFont="1" applyFill="1" applyAlignment="1">
      <alignment horizontal="center" vertical="center" wrapText="1"/>
    </xf>
    <xf numFmtId="11" fontId="37" fillId="5" borderId="0" xfId="0" applyNumberFormat="1" applyFont="1" applyFill="1" applyAlignment="1">
      <alignment horizontal="left" vertical="center" wrapText="1"/>
    </xf>
    <xf numFmtId="0" fontId="5" fillId="32" borderId="33" xfId="0" applyFont="1" applyFill="1" applyBorder="1"/>
    <xf numFmtId="2" fontId="5" fillId="25" borderId="51" xfId="0" applyNumberFormat="1" applyFont="1" applyFill="1" applyBorder="1"/>
    <xf numFmtId="2" fontId="5" fillId="25" borderId="52" xfId="0" applyNumberFormat="1" applyFont="1" applyFill="1" applyBorder="1"/>
    <xf numFmtId="0" fontId="5" fillId="31" borderId="107" xfId="0" applyFont="1" applyFill="1" applyBorder="1"/>
    <xf numFmtId="0" fontId="5" fillId="31" borderId="108" xfId="0" applyFont="1" applyFill="1" applyBorder="1"/>
    <xf numFmtId="0" fontId="0" fillId="25" borderId="0" xfId="0" applyFill="1" applyAlignment="1">
      <alignment horizontal="center" vertical="center"/>
    </xf>
    <xf numFmtId="0" fontId="6" fillId="25" borderId="56" xfId="0" applyFont="1" applyFill="1" applyBorder="1" applyAlignment="1">
      <alignment horizontal="center" vertical="center" wrapText="1"/>
    </xf>
    <xf numFmtId="0" fontId="0" fillId="21" borderId="61" xfId="0" quotePrefix="1" applyFill="1" applyBorder="1"/>
    <xf numFmtId="0" fontId="0" fillId="35" borderId="61" xfId="0" quotePrefix="1" applyFill="1" applyBorder="1"/>
    <xf numFmtId="2" fontId="5" fillId="21" borderId="61" xfId="0" applyNumberFormat="1" applyFont="1" applyFill="1" applyBorder="1"/>
    <xf numFmtId="2" fontId="6" fillId="21" borderId="87" xfId="0" applyNumberFormat="1" applyFont="1" applyFill="1" applyBorder="1"/>
    <xf numFmtId="2" fontId="5" fillId="21" borderId="0" xfId="0" applyNumberFormat="1" applyFont="1" applyFill="1"/>
    <xf numFmtId="4" fontId="6" fillId="21" borderId="0" xfId="0" applyNumberFormat="1" applyFont="1" applyFill="1"/>
    <xf numFmtId="2" fontId="6" fillId="21" borderId="61" xfId="0" applyNumberFormat="1" applyFont="1" applyFill="1" applyBorder="1"/>
    <xf numFmtId="0" fontId="5" fillId="32" borderId="60" xfId="0" applyFont="1" applyFill="1" applyBorder="1"/>
    <xf numFmtId="0" fontId="0" fillId="0" borderId="109" xfId="0" applyBorder="1"/>
    <xf numFmtId="0" fontId="0" fillId="5" borderId="49" xfId="0" applyFill="1" applyBorder="1"/>
    <xf numFmtId="0" fontId="0" fillId="25" borderId="86" xfId="0" applyFill="1" applyBorder="1"/>
    <xf numFmtId="0" fontId="0" fillId="0" borderId="38" xfId="0" applyBorder="1"/>
    <xf numFmtId="0" fontId="0" fillId="5" borderId="86" xfId="0" applyFill="1" applyBorder="1"/>
    <xf numFmtId="0" fontId="59" fillId="5" borderId="0" xfId="0" applyFont="1" applyFill="1"/>
    <xf numFmtId="0" fontId="0" fillId="25" borderId="68" xfId="0" applyFill="1" applyBorder="1"/>
    <xf numFmtId="0" fontId="0" fillId="25" borderId="66" xfId="0" applyFill="1" applyBorder="1"/>
    <xf numFmtId="0" fontId="0" fillId="32" borderId="46" xfId="0" applyFill="1" applyBorder="1"/>
    <xf numFmtId="0" fontId="6" fillId="5" borderId="63" xfId="0" applyFont="1" applyFill="1" applyBorder="1" applyAlignment="1">
      <alignment horizontal="center" vertical="center" wrapText="1"/>
    </xf>
    <xf numFmtId="9" fontId="0" fillId="0" borderId="41" xfId="134" applyFont="1" applyFill="1" applyBorder="1"/>
    <xf numFmtId="0" fontId="0" fillId="32" borderId="49" xfId="0" applyFill="1" applyBorder="1"/>
    <xf numFmtId="0" fontId="69" fillId="25" borderId="0" xfId="0" applyFont="1" applyFill="1"/>
    <xf numFmtId="0" fontId="0" fillId="0" borderId="45" xfId="0" applyBorder="1" applyAlignment="1">
      <alignment vertical="center"/>
    </xf>
    <xf numFmtId="2" fontId="0" fillId="0" borderId="86" xfId="0" applyNumberFormat="1" applyBorder="1"/>
    <xf numFmtId="0" fontId="71" fillId="0" borderId="42" xfId="0" applyFont="1" applyBorder="1"/>
    <xf numFmtId="9" fontId="0" fillId="0" borderId="61" xfId="134" applyFont="1" applyBorder="1"/>
    <xf numFmtId="0" fontId="58" fillId="5" borderId="45" xfId="0" applyFont="1" applyFill="1" applyBorder="1"/>
    <xf numFmtId="0" fontId="58" fillId="5" borderId="47" xfId="0" applyFont="1" applyFill="1" applyBorder="1"/>
    <xf numFmtId="0" fontId="58" fillId="5" borderId="67" xfId="0" applyFont="1" applyFill="1" applyBorder="1"/>
    <xf numFmtId="201" fontId="58" fillId="5" borderId="48" xfId="152" applyNumberFormat="1" applyFont="1" applyFill="1" applyBorder="1"/>
    <xf numFmtId="201" fontId="58" fillId="5" borderId="0" xfId="152" applyNumberFormat="1" applyFont="1" applyFill="1" applyBorder="1"/>
    <xf numFmtId="201" fontId="58" fillId="5" borderId="41" xfId="152" applyNumberFormat="1" applyFont="1" applyFill="1" applyBorder="1"/>
    <xf numFmtId="0" fontId="0" fillId="5" borderId="46" xfId="0" applyFill="1" applyBorder="1"/>
    <xf numFmtId="0" fontId="0" fillId="5" borderId="68" xfId="0" applyFill="1" applyBorder="1"/>
    <xf numFmtId="0" fontId="0" fillId="5" borderId="0" xfId="0" applyFill="1" applyAlignment="1">
      <alignment wrapText="1"/>
    </xf>
    <xf numFmtId="165" fontId="0" fillId="5" borderId="61" xfId="0" applyNumberFormat="1" applyFill="1" applyBorder="1"/>
    <xf numFmtId="43" fontId="0" fillId="5" borderId="0" xfId="152" applyFont="1" applyFill="1"/>
    <xf numFmtId="2" fontId="5" fillId="31" borderId="87" xfId="0" applyNumberFormat="1" applyFont="1" applyFill="1" applyBorder="1"/>
    <xf numFmtId="2" fontId="5" fillId="0" borderId="87" xfId="0" applyNumberFormat="1" applyFont="1" applyBorder="1"/>
    <xf numFmtId="2" fontId="5" fillId="0" borderId="93" xfId="0" applyNumberFormat="1" applyFont="1" applyBorder="1"/>
    <xf numFmtId="2" fontId="5" fillId="22" borderId="37" xfId="0" applyNumberFormat="1" applyFont="1" applyFill="1" applyBorder="1"/>
    <xf numFmtId="2" fontId="5" fillId="22" borderId="26" xfId="0" applyNumberFormat="1" applyFont="1" applyFill="1" applyBorder="1"/>
    <xf numFmtId="2" fontId="5" fillId="22" borderId="40" xfId="0" applyNumberFormat="1" applyFont="1" applyFill="1" applyBorder="1"/>
    <xf numFmtId="2" fontId="6" fillId="0" borderId="0" xfId="0" applyNumberFormat="1" applyFont="1"/>
    <xf numFmtId="2" fontId="5" fillId="22" borderId="61" xfId="0" applyNumberFormat="1" applyFont="1" applyFill="1" applyBorder="1"/>
    <xf numFmtId="2" fontId="6" fillId="5" borderId="87" xfId="0" applyNumberFormat="1" applyFont="1" applyFill="1" applyBorder="1"/>
    <xf numFmtId="2" fontId="6" fillId="31" borderId="61" xfId="0" applyNumberFormat="1" applyFont="1" applyFill="1" applyBorder="1"/>
    <xf numFmtId="2" fontId="6" fillId="0" borderId="61" xfId="0" applyNumberFormat="1" applyFont="1" applyBorder="1"/>
    <xf numFmtId="2" fontId="5" fillId="31" borderId="37" xfId="0" applyNumberFormat="1" applyFont="1" applyFill="1" applyBorder="1"/>
    <xf numFmtId="2" fontId="5" fillId="31" borderId="26" xfId="0" applyNumberFormat="1" applyFont="1" applyFill="1" applyBorder="1"/>
    <xf numFmtId="2" fontId="5" fillId="31" borderId="40" xfId="0" applyNumberFormat="1" applyFont="1" applyFill="1" applyBorder="1"/>
    <xf numFmtId="2" fontId="5" fillId="5" borderId="37" xfId="0" applyNumberFormat="1" applyFont="1" applyFill="1" applyBorder="1"/>
    <xf numFmtId="2" fontId="6" fillId="5" borderId="0" xfId="0" applyNumberFormat="1" applyFont="1" applyFill="1"/>
    <xf numFmtId="4" fontId="5" fillId="0" borderId="61" xfId="0" applyNumberFormat="1" applyFont="1" applyBorder="1"/>
    <xf numFmtId="4" fontId="5" fillId="0" borderId="86" xfId="0" applyNumberFormat="1" applyFont="1" applyBorder="1" applyAlignment="1">
      <alignment wrapText="1"/>
    </xf>
    <xf numFmtId="4" fontId="6" fillId="0" borderId="0" xfId="0" applyNumberFormat="1" applyFont="1" applyAlignment="1">
      <alignment wrapText="1"/>
    </xf>
    <xf numFmtId="4" fontId="5" fillId="5" borderId="61" xfId="0" applyNumberFormat="1" applyFont="1" applyFill="1" applyBorder="1"/>
    <xf numFmtId="4" fontId="5" fillId="5" borderId="86" xfId="0" applyNumberFormat="1" applyFont="1" applyFill="1" applyBorder="1"/>
    <xf numFmtId="4" fontId="5" fillId="0" borderId="0" xfId="0" applyNumberFormat="1" applyFont="1"/>
    <xf numFmtId="4" fontId="6" fillId="21" borderId="0" xfId="0" applyNumberFormat="1" applyFont="1" applyFill="1" applyAlignment="1">
      <alignment wrapText="1"/>
    </xf>
    <xf numFmtId="4" fontId="5" fillId="31" borderId="61" xfId="0" applyNumberFormat="1" applyFont="1" applyFill="1" applyBorder="1"/>
    <xf numFmtId="4" fontId="5" fillId="31" borderId="86" xfId="0" applyNumberFormat="1" applyFont="1" applyFill="1" applyBorder="1"/>
    <xf numFmtId="4" fontId="5" fillId="0" borderId="86" xfId="0" applyNumberFormat="1" applyFont="1" applyBorder="1"/>
    <xf numFmtId="4" fontId="5" fillId="21" borderId="0" xfId="0" applyNumberFormat="1" applyFont="1" applyFill="1"/>
    <xf numFmtId="4" fontId="5" fillId="31" borderId="88" xfId="0" applyNumberFormat="1" applyFont="1" applyFill="1" applyBorder="1"/>
    <xf numFmtId="1" fontId="5" fillId="0" borderId="61" xfId="0" applyNumberFormat="1" applyFont="1" applyBorder="1" applyAlignment="1">
      <alignment horizontal="right"/>
    </xf>
    <xf numFmtId="1" fontId="5" fillId="0" borderId="86" xfId="0" applyNumberFormat="1" applyFont="1" applyBorder="1" applyAlignment="1">
      <alignment wrapText="1"/>
    </xf>
    <xf numFmtId="1" fontId="6" fillId="0" borderId="0" xfId="0" applyNumberFormat="1" applyFont="1" applyAlignment="1">
      <alignment wrapText="1"/>
    </xf>
    <xf numFmtId="1" fontId="5" fillId="5" borderId="86" xfId="0" applyNumberFormat="1" applyFont="1" applyFill="1" applyBorder="1"/>
    <xf numFmtId="1" fontId="5" fillId="0" borderId="0" xfId="0" applyNumberFormat="1" applyFont="1"/>
    <xf numFmtId="1" fontId="6" fillId="21" borderId="0" xfId="0" applyNumberFormat="1" applyFont="1" applyFill="1" applyAlignment="1">
      <alignment wrapText="1"/>
    </xf>
    <xf numFmtId="1" fontId="5" fillId="31" borderId="86" xfId="0" applyNumberFormat="1" applyFont="1" applyFill="1" applyBorder="1"/>
    <xf numFmtId="1" fontId="5" fillId="0" borderId="86" xfId="0" applyNumberFormat="1" applyFont="1" applyBorder="1"/>
    <xf numFmtId="1" fontId="5" fillId="21" borderId="0" xfId="0" applyNumberFormat="1" applyFont="1" applyFill="1"/>
    <xf numFmtId="1" fontId="6" fillId="21" borderId="0" xfId="0" applyNumberFormat="1" applyFont="1" applyFill="1"/>
    <xf numFmtId="1" fontId="5" fillId="31" borderId="88" xfId="0" applyNumberFormat="1" applyFont="1" applyFill="1" applyBorder="1"/>
    <xf numFmtId="202" fontId="0" fillId="0" borderId="44" xfId="0" applyNumberFormat="1" applyBorder="1"/>
    <xf numFmtId="202" fontId="0" fillId="0" borderId="46" xfId="0" applyNumberFormat="1" applyBorder="1"/>
    <xf numFmtId="202" fontId="0" fillId="0" borderId="83" xfId="0" applyNumberFormat="1" applyBorder="1"/>
    <xf numFmtId="2" fontId="6" fillId="33" borderId="0" xfId="0" applyNumberFormat="1" applyFont="1" applyFill="1"/>
    <xf numFmtId="165" fontId="5" fillId="31" borderId="61" xfId="0" applyNumberFormat="1" applyFont="1" applyFill="1" applyBorder="1"/>
    <xf numFmtId="165" fontId="5" fillId="31" borderId="40" xfId="0" applyNumberFormat="1" applyFont="1" applyFill="1" applyBorder="1"/>
    <xf numFmtId="165" fontId="6" fillId="31" borderId="60" xfId="0" applyNumberFormat="1" applyFont="1" applyFill="1" applyBorder="1"/>
    <xf numFmtId="165" fontId="5" fillId="31" borderId="37" xfId="0" applyNumberFormat="1" applyFont="1" applyFill="1" applyBorder="1"/>
    <xf numFmtId="165" fontId="6" fillId="0" borderId="61" xfId="0" applyNumberFormat="1" applyFont="1" applyBorder="1"/>
    <xf numFmtId="165" fontId="5" fillId="33" borderId="0" xfId="0" applyNumberFormat="1" applyFont="1" applyFill="1"/>
    <xf numFmtId="165" fontId="5" fillId="31" borderId="26" xfId="0" applyNumberFormat="1" applyFont="1" applyFill="1" applyBorder="1"/>
    <xf numFmtId="0" fontId="0" fillId="5" borderId="45" xfId="0" applyFill="1" applyBorder="1"/>
    <xf numFmtId="0" fontId="74" fillId="5" borderId="0" xfId="0" applyFont="1" applyFill="1" applyAlignment="1">
      <alignment horizontal="left"/>
    </xf>
    <xf numFmtId="0" fontId="74" fillId="5" borderId="86" xfId="0" applyFont="1" applyFill="1" applyBorder="1" applyAlignment="1">
      <alignment horizontal="center"/>
    </xf>
    <xf numFmtId="0" fontId="0" fillId="32" borderId="86" xfId="0" applyFill="1" applyBorder="1"/>
    <xf numFmtId="0" fontId="59" fillId="5" borderId="0" xfId="0" applyFont="1" applyFill="1" applyAlignment="1">
      <alignment vertical="center"/>
    </xf>
    <xf numFmtId="0" fontId="0" fillId="5" borderId="0" xfId="0" applyFill="1" applyAlignment="1">
      <alignment vertical="center"/>
    </xf>
    <xf numFmtId="0" fontId="0" fillId="32" borderId="0" xfId="0" applyFill="1" applyAlignment="1">
      <alignment vertical="center"/>
    </xf>
    <xf numFmtId="0" fontId="75" fillId="5" borderId="0" xfId="0" applyFont="1" applyFill="1"/>
    <xf numFmtId="0" fontId="53" fillId="5" borderId="0" xfId="0" applyFont="1" applyFill="1"/>
    <xf numFmtId="0" fontId="7" fillId="5" borderId="0" xfId="151" applyFill="1"/>
    <xf numFmtId="14" fontId="0" fillId="5" borderId="0" xfId="0" applyNumberFormat="1" applyFill="1"/>
    <xf numFmtId="0" fontId="7" fillId="5" borderId="0" xfId="151" applyFill="1" applyAlignment="1">
      <alignment vertical="center" wrapText="1"/>
    </xf>
    <xf numFmtId="0" fontId="0" fillId="5" borderId="47" xfId="0" applyFill="1" applyBorder="1"/>
    <xf numFmtId="0" fontId="58" fillId="32" borderId="42" xfId="0" applyFont="1" applyFill="1" applyBorder="1"/>
    <xf numFmtId="0" fontId="58" fillId="32" borderId="45" xfId="0" applyFont="1" applyFill="1" applyBorder="1"/>
    <xf numFmtId="0" fontId="58" fillId="32" borderId="47" xfId="0" applyFont="1" applyFill="1" applyBorder="1"/>
    <xf numFmtId="0" fontId="0" fillId="32" borderId="48" xfId="0" applyFill="1" applyBorder="1"/>
    <xf numFmtId="201" fontId="58" fillId="32" borderId="43" xfId="152" applyNumberFormat="1" applyFont="1" applyFill="1" applyBorder="1"/>
    <xf numFmtId="0" fontId="0" fillId="32" borderId="44" xfId="0" applyFill="1" applyBorder="1"/>
    <xf numFmtId="0" fontId="0" fillId="5" borderId="48" xfId="0" applyFill="1" applyBorder="1"/>
    <xf numFmtId="0" fontId="58" fillId="5" borderId="48" xfId="0" applyFont="1" applyFill="1" applyBorder="1"/>
    <xf numFmtId="203" fontId="0" fillId="0" borderId="46" xfId="0" applyNumberFormat="1" applyBorder="1"/>
    <xf numFmtId="0" fontId="77" fillId="5" borderId="0" xfId="0" applyFont="1" applyFill="1" applyAlignment="1">
      <alignment vertical="center"/>
    </xf>
    <xf numFmtId="0" fontId="58" fillId="25" borderId="104" xfId="0" applyFont="1" applyFill="1" applyBorder="1"/>
    <xf numFmtId="0" fontId="58" fillId="25" borderId="41" xfId="0" applyFont="1" applyFill="1" applyBorder="1"/>
    <xf numFmtId="0" fontId="58" fillId="25" borderId="48" xfId="0" applyFont="1" applyFill="1" applyBorder="1"/>
    <xf numFmtId="0" fontId="58" fillId="5" borderId="41" xfId="0" applyFont="1" applyFill="1" applyBorder="1"/>
    <xf numFmtId="0" fontId="58" fillId="32" borderId="43" xfId="0" applyFont="1" applyFill="1" applyBorder="1"/>
    <xf numFmtId="0" fontId="58" fillId="32" borderId="0" xfId="0" applyFont="1" applyFill="1"/>
    <xf numFmtId="0" fontId="58" fillId="32" borderId="48" xfId="0" applyFont="1" applyFill="1" applyBorder="1"/>
    <xf numFmtId="0" fontId="61" fillId="25" borderId="65" xfId="0" applyFont="1" applyFill="1" applyBorder="1"/>
    <xf numFmtId="0" fontId="74" fillId="5" borderId="0" xfId="0" applyFont="1" applyFill="1" applyAlignment="1">
      <alignment horizontal="center"/>
    </xf>
    <xf numFmtId="0" fontId="0" fillId="5" borderId="0" xfId="0" applyFill="1" applyAlignment="1">
      <alignment vertical="center" wrapText="1"/>
    </xf>
    <xf numFmtId="0" fontId="78" fillId="25" borderId="0" xfId="0" applyFont="1" applyFill="1"/>
    <xf numFmtId="0" fontId="59" fillId="32" borderId="43" xfId="0" applyFont="1" applyFill="1" applyBorder="1" applyAlignment="1">
      <alignment vertical="center"/>
    </xf>
    <xf numFmtId="0" fontId="59" fillId="32" borderId="44" xfId="0" applyFont="1" applyFill="1" applyBorder="1" applyAlignment="1">
      <alignment vertical="center"/>
    </xf>
    <xf numFmtId="0" fontId="0" fillId="32" borderId="68" xfId="0" applyFill="1" applyBorder="1"/>
    <xf numFmtId="49" fontId="52" fillId="31" borderId="91" xfId="65" applyNumberFormat="1" applyFont="1" applyFill="1" applyBorder="1" applyAlignment="1">
      <alignment horizontal="left" vertical="center"/>
    </xf>
    <xf numFmtId="2" fontId="51" fillId="31" borderId="61" xfId="0" applyNumberFormat="1" applyFont="1" applyFill="1" applyBorder="1"/>
    <xf numFmtId="49" fontId="52" fillId="31" borderId="23" xfId="65" applyNumberFormat="1" applyFont="1" applyFill="1" applyBorder="1" applyAlignment="1">
      <alignment horizontal="left" vertical="center"/>
    </xf>
    <xf numFmtId="49" fontId="9" fillId="31" borderId="35" xfId="65" applyNumberFormat="1" applyFill="1" applyBorder="1" applyAlignment="1">
      <alignment horizontal="left" vertical="center"/>
    </xf>
    <xf numFmtId="49" fontId="5" fillId="31" borderId="62" xfId="0" applyNumberFormat="1" applyFont="1" applyFill="1" applyBorder="1"/>
    <xf numFmtId="49" fontId="5" fillId="31" borderId="34" xfId="0" applyNumberFormat="1" applyFont="1" applyFill="1" applyBorder="1"/>
    <xf numFmtId="0" fontId="51" fillId="31" borderId="86" xfId="0" applyFont="1" applyFill="1" applyBorder="1"/>
    <xf numFmtId="0" fontId="5" fillId="31" borderId="90" xfId="0" applyFont="1" applyFill="1" applyBorder="1" applyAlignment="1">
      <alignment horizontal="left" wrapText="1"/>
    </xf>
    <xf numFmtId="165" fontId="58" fillId="5" borderId="48" xfId="0" applyNumberFormat="1" applyFont="1" applyFill="1" applyBorder="1"/>
    <xf numFmtId="0" fontId="0" fillId="25" borderId="41" xfId="0" applyFill="1" applyBorder="1"/>
    <xf numFmtId="0" fontId="0" fillId="38" borderId="104" xfId="0" applyFill="1" applyBorder="1"/>
    <xf numFmtId="0" fontId="0" fillId="38" borderId="41" xfId="0" applyFill="1" applyBorder="1"/>
    <xf numFmtId="3" fontId="0" fillId="38" borderId="41" xfId="0" applyNumberFormat="1" applyFill="1" applyBorder="1"/>
    <xf numFmtId="201" fontId="58" fillId="38" borderId="0" xfId="152" applyNumberFormat="1" applyFont="1" applyFill="1" applyBorder="1"/>
    <xf numFmtId="201" fontId="58" fillId="38" borderId="48" xfId="152" applyNumberFormat="1" applyFont="1" applyFill="1" applyBorder="1"/>
    <xf numFmtId="194" fontId="0" fillId="39" borderId="78" xfId="0" applyNumberFormat="1" applyFill="1" applyBorder="1"/>
    <xf numFmtId="0" fontId="5" fillId="31" borderId="34" xfId="0" applyFont="1" applyFill="1" applyBorder="1" applyAlignment="1">
      <alignment horizontal="left" wrapText="1"/>
    </xf>
    <xf numFmtId="0" fontId="59" fillId="25" borderId="43" xfId="0" applyFont="1" applyFill="1" applyBorder="1" applyAlignment="1">
      <alignment vertical="center"/>
    </xf>
    <xf numFmtId="0" fontId="59" fillId="25" borderId="41" xfId="0" applyFont="1" applyFill="1" applyBorder="1" applyAlignment="1">
      <alignment vertical="center"/>
    </xf>
    <xf numFmtId="0" fontId="5" fillId="31" borderId="48" xfId="0" applyFont="1" applyFill="1" applyBorder="1" applyAlignment="1">
      <alignment horizontal="left" wrapText="1"/>
    </xf>
    <xf numFmtId="2" fontId="5" fillId="31" borderId="48" xfId="0" applyNumberFormat="1" applyFont="1" applyFill="1" applyBorder="1"/>
    <xf numFmtId="165" fontId="5" fillId="31" borderId="63" xfId="0" applyNumberFormat="1" applyFont="1" applyFill="1" applyBorder="1"/>
    <xf numFmtId="0" fontId="6" fillId="31" borderId="110" xfId="0" applyFont="1" applyFill="1" applyBorder="1"/>
    <xf numFmtId="165" fontId="6" fillId="31" borderId="110" xfId="0" applyNumberFormat="1" applyFont="1" applyFill="1" applyBorder="1"/>
    <xf numFmtId="0" fontId="5" fillId="31" borderId="106" xfId="0" applyFont="1" applyFill="1" applyBorder="1"/>
    <xf numFmtId="0" fontId="5" fillId="31" borderId="41" xfId="0" applyFont="1" applyFill="1" applyBorder="1"/>
    <xf numFmtId="0" fontId="5" fillId="31" borderId="27" xfId="0" applyFont="1" applyFill="1" applyBorder="1"/>
    <xf numFmtId="0" fontId="5" fillId="31" borderId="27" xfId="0" applyFont="1" applyFill="1" applyBorder="1" applyAlignment="1">
      <alignment wrapText="1"/>
    </xf>
    <xf numFmtId="0" fontId="5" fillId="31" borderId="55" xfId="0" applyFont="1" applyFill="1" applyBorder="1"/>
    <xf numFmtId="0" fontId="6" fillId="33" borderId="0" xfId="0" applyFont="1" applyFill="1" applyAlignment="1">
      <alignment horizontal="right"/>
    </xf>
    <xf numFmtId="192" fontId="5" fillId="31" borderId="48" xfId="0" applyNumberFormat="1" applyFont="1" applyFill="1" applyBorder="1" applyAlignment="1">
      <alignment horizontal="right"/>
    </xf>
    <xf numFmtId="0" fontId="5" fillId="0" borderId="0" xfId="0" applyFont="1" applyAlignment="1">
      <alignment horizontal="right"/>
    </xf>
    <xf numFmtId="2" fontId="5" fillId="31" borderId="61" xfId="0" applyNumberFormat="1" applyFont="1" applyFill="1" applyBorder="1" applyAlignment="1">
      <alignment horizontal="right"/>
    </xf>
    <xf numFmtId="2" fontId="5" fillId="0" borderId="0" xfId="0" applyNumberFormat="1" applyFont="1" applyAlignment="1">
      <alignment horizontal="right"/>
    </xf>
    <xf numFmtId="2" fontId="5" fillId="31" borderId="48" xfId="0" applyNumberFormat="1" applyFont="1" applyFill="1" applyBorder="1" applyAlignment="1">
      <alignment horizontal="right"/>
    </xf>
    <xf numFmtId="0" fontId="6" fillId="33" borderId="0" xfId="0" applyFont="1" applyFill="1" applyAlignment="1">
      <alignment horizontal="right" wrapText="1"/>
    </xf>
    <xf numFmtId="0" fontId="5" fillId="31" borderId="48" xfId="0" applyFont="1" applyFill="1" applyBorder="1" applyAlignment="1">
      <alignment horizontal="right"/>
    </xf>
    <xf numFmtId="0" fontId="5" fillId="31" borderId="63" xfId="0" applyFont="1" applyFill="1" applyBorder="1" applyAlignment="1">
      <alignment horizontal="right"/>
    </xf>
    <xf numFmtId="0" fontId="5" fillId="0" borderId="25" xfId="0" applyFont="1" applyBorder="1" applyAlignment="1">
      <alignment wrapText="1"/>
    </xf>
    <xf numFmtId="2" fontId="5" fillId="21" borderId="63" xfId="0" applyNumberFormat="1" applyFont="1" applyFill="1" applyBorder="1"/>
    <xf numFmtId="2" fontId="5" fillId="21" borderId="25" xfId="0" applyNumberFormat="1" applyFont="1" applyFill="1" applyBorder="1"/>
    <xf numFmtId="0" fontId="5" fillId="40" borderId="0" xfId="0" applyFont="1" applyFill="1"/>
    <xf numFmtId="0" fontId="6" fillId="40" borderId="0" xfId="0" applyFont="1" applyFill="1"/>
    <xf numFmtId="0" fontId="6" fillId="40" borderId="0" xfId="0" applyFont="1" applyFill="1" applyAlignment="1">
      <alignment wrapText="1"/>
    </xf>
    <xf numFmtId="0" fontId="0" fillId="40" borderId="0" xfId="0" applyFill="1"/>
    <xf numFmtId="2" fontId="5" fillId="0" borderId="25" xfId="0" applyNumberFormat="1" applyFont="1" applyBorder="1"/>
    <xf numFmtId="1" fontId="5" fillId="0" borderId="25" xfId="0" applyNumberFormat="1" applyFont="1" applyBorder="1"/>
    <xf numFmtId="0" fontId="5" fillId="21" borderId="0" xfId="0" applyFont="1" applyFill="1" applyAlignment="1">
      <alignment wrapText="1"/>
    </xf>
    <xf numFmtId="49" fontId="0" fillId="0" borderId="0" xfId="0" applyNumberFormat="1"/>
    <xf numFmtId="2" fontId="51" fillId="0" borderId="61" xfId="0" applyNumberFormat="1" applyFont="1" applyBorder="1"/>
    <xf numFmtId="0" fontId="0" fillId="0" borderId="26" xfId="0" applyBorder="1"/>
    <xf numFmtId="0" fontId="5" fillId="0" borderId="106" xfId="0" applyFont="1" applyBorder="1"/>
    <xf numFmtId="2" fontId="5" fillId="0" borderId="106" xfId="0" applyNumberFormat="1" applyFont="1" applyBorder="1"/>
    <xf numFmtId="4" fontId="5" fillId="41" borderId="61" xfId="0" applyNumberFormat="1" applyFont="1" applyFill="1" applyBorder="1"/>
    <xf numFmtId="4" fontId="5" fillId="41" borderId="106" xfId="0" applyNumberFormat="1" applyFont="1" applyFill="1" applyBorder="1"/>
    <xf numFmtId="0" fontId="0" fillId="0" borderId="104" xfId="0" applyBorder="1"/>
    <xf numFmtId="0" fontId="0" fillId="42" borderId="0" xfId="0" applyFill="1"/>
    <xf numFmtId="0" fontId="0" fillId="25" borderId="67" xfId="0" applyFill="1" applyBorder="1"/>
    <xf numFmtId="0" fontId="0" fillId="25" borderId="48" xfId="0" applyFill="1" applyBorder="1"/>
    <xf numFmtId="0" fontId="69" fillId="25" borderId="45" xfId="0" applyFont="1" applyFill="1" applyBorder="1"/>
    <xf numFmtId="0" fontId="0" fillId="32" borderId="45" xfId="0" applyFill="1" applyBorder="1" applyAlignment="1">
      <alignment vertical="center" wrapText="1"/>
    </xf>
    <xf numFmtId="0" fontId="6" fillId="5" borderId="106" xfId="0" applyFont="1" applyFill="1" applyBorder="1" applyAlignment="1">
      <alignment horizontal="center" vertical="center" wrapText="1"/>
    </xf>
    <xf numFmtId="194" fontId="0" fillId="39" borderId="51" xfId="0" applyNumberFormat="1" applyFill="1" applyBorder="1"/>
    <xf numFmtId="198" fontId="0" fillId="39" borderId="51" xfId="0" applyNumberFormat="1" applyFill="1" applyBorder="1"/>
    <xf numFmtId="0" fontId="0" fillId="25" borderId="51" xfId="0" applyFill="1" applyBorder="1"/>
    <xf numFmtId="0" fontId="0" fillId="0" borderId="98" xfId="0" applyBorder="1"/>
    <xf numFmtId="1" fontId="5" fillId="0" borderId="0" xfId="0" applyNumberFormat="1" applyFont="1" applyAlignment="1">
      <alignment wrapText="1"/>
    </xf>
    <xf numFmtId="4" fontId="5" fillId="0" borderId="0" xfId="0" applyNumberFormat="1" applyFont="1" applyAlignment="1">
      <alignment wrapText="1"/>
    </xf>
    <xf numFmtId="0" fontId="59" fillId="25" borderId="44" xfId="0" applyFont="1" applyFill="1" applyBorder="1" applyAlignment="1">
      <alignment vertical="center"/>
    </xf>
    <xf numFmtId="0" fontId="59" fillId="25" borderId="68" xfId="0" applyFont="1" applyFill="1" applyBorder="1" applyAlignment="1">
      <alignment vertical="center"/>
    </xf>
    <xf numFmtId="0" fontId="0" fillId="5" borderId="112" xfId="0" applyFill="1" applyBorder="1"/>
    <xf numFmtId="0" fontId="0" fillId="37" borderId="46" xfId="0" applyFill="1" applyBorder="1"/>
    <xf numFmtId="0" fontId="69" fillId="37" borderId="46" xfId="0" applyFont="1" applyFill="1" applyBorder="1"/>
    <xf numFmtId="0" fontId="0" fillId="37" borderId="68" xfId="0" applyFill="1" applyBorder="1"/>
    <xf numFmtId="0" fontId="59" fillId="25" borderId="43" xfId="0" applyFont="1" applyFill="1" applyBorder="1"/>
    <xf numFmtId="0" fontId="0" fillId="5" borderId="43" xfId="0" applyFill="1" applyBorder="1"/>
    <xf numFmtId="0" fontId="59" fillId="5" borderId="85" xfId="0" applyFont="1" applyFill="1" applyBorder="1" applyAlignment="1">
      <alignment vertical="center"/>
    </xf>
    <xf numFmtId="0" fontId="59" fillId="5" borderId="99" xfId="0" applyFont="1" applyFill="1" applyBorder="1" applyAlignment="1">
      <alignment vertical="center"/>
    </xf>
    <xf numFmtId="165" fontId="58" fillId="5" borderId="99" xfId="0" applyNumberFormat="1" applyFont="1" applyFill="1" applyBorder="1"/>
    <xf numFmtId="0" fontId="0" fillId="5" borderId="41" xfId="0" applyFill="1" applyBorder="1"/>
    <xf numFmtId="0" fontId="0" fillId="5" borderId="99" xfId="0" applyFill="1" applyBorder="1"/>
    <xf numFmtId="0" fontId="0" fillId="5" borderId="67" xfId="0" applyFill="1" applyBorder="1"/>
    <xf numFmtId="0" fontId="58" fillId="5" borderId="0" xfId="0" applyFont="1" applyFill="1"/>
    <xf numFmtId="0" fontId="59" fillId="5" borderId="42" xfId="0" applyFont="1" applyFill="1" applyBorder="1" applyAlignment="1">
      <alignment horizontal="left" vertical="center"/>
    </xf>
    <xf numFmtId="0" fontId="59" fillId="5" borderId="43" xfId="0" applyFont="1" applyFill="1" applyBorder="1" applyAlignment="1">
      <alignment horizontal="left" vertical="center"/>
    </xf>
    <xf numFmtId="0" fontId="59" fillId="32" borderId="41" xfId="0" applyFont="1" applyFill="1" applyBorder="1" applyAlignment="1">
      <alignment vertical="center"/>
    </xf>
    <xf numFmtId="0" fontId="59" fillId="32" borderId="68" xfId="0" applyFont="1" applyFill="1" applyBorder="1" applyAlignment="1">
      <alignment vertical="center"/>
    </xf>
    <xf numFmtId="0" fontId="58" fillId="32" borderId="67" xfId="0" applyFont="1" applyFill="1" applyBorder="1"/>
    <xf numFmtId="0" fontId="58" fillId="32" borderId="41" xfId="0" applyFont="1" applyFill="1" applyBorder="1"/>
    <xf numFmtId="201" fontId="58" fillId="38" borderId="41" xfId="152" applyNumberFormat="1" applyFont="1" applyFill="1" applyBorder="1"/>
    <xf numFmtId="200" fontId="58" fillId="38" borderId="0" xfId="152" applyNumberFormat="1" applyFont="1" applyFill="1" applyBorder="1"/>
    <xf numFmtId="0" fontId="58" fillId="32" borderId="65" xfId="0" applyFont="1" applyFill="1" applyBorder="1"/>
    <xf numFmtId="0" fontId="0" fillId="32" borderId="66" xfId="0" applyFill="1" applyBorder="1"/>
    <xf numFmtId="194" fontId="0" fillId="39" borderId="51" xfId="0" applyNumberFormat="1" applyFill="1" applyBorder="1" applyAlignment="1">
      <alignment horizontal="right"/>
    </xf>
    <xf numFmtId="0" fontId="0" fillId="25" borderId="52" xfId="0" applyFill="1" applyBorder="1"/>
    <xf numFmtId="0" fontId="80" fillId="25" borderId="0" xfId="152" applyNumberFormat="1" applyFont="1" applyFill="1" applyBorder="1"/>
    <xf numFmtId="0" fontId="5" fillId="25" borderId="0" xfId="0" applyFont="1" applyFill="1"/>
    <xf numFmtId="49" fontId="5" fillId="25" borderId="0" xfId="0" applyNumberFormat="1" applyFont="1" applyFill="1"/>
    <xf numFmtId="2" fontId="5" fillId="25" borderId="0" xfId="0" applyNumberFormat="1" applyFont="1" applyFill="1"/>
    <xf numFmtId="0" fontId="5" fillId="43" borderId="0" xfId="0" applyFont="1" applyFill="1"/>
    <xf numFmtId="0" fontId="6" fillId="43" borderId="0" xfId="0" applyFont="1" applyFill="1"/>
    <xf numFmtId="49" fontId="6" fillId="43" borderId="0" xfId="0" applyNumberFormat="1" applyFont="1" applyFill="1"/>
    <xf numFmtId="2" fontId="5" fillId="43" borderId="0" xfId="0" applyNumberFormat="1" applyFont="1" applyFill="1"/>
    <xf numFmtId="0" fontId="5" fillId="25" borderId="0" xfId="0" applyFont="1" applyFill="1" applyAlignment="1">
      <alignment vertical="center" textRotation="90" wrapText="1"/>
    </xf>
    <xf numFmtId="0" fontId="6" fillId="25" borderId="42" xfId="0" applyFont="1" applyFill="1" applyBorder="1" applyAlignment="1">
      <alignment horizontal="center" vertical="center" wrapText="1"/>
    </xf>
    <xf numFmtId="0" fontId="0" fillId="25" borderId="0" xfId="0" applyFill="1" applyAlignment="1">
      <alignment textRotation="90" wrapText="1"/>
    </xf>
    <xf numFmtId="0" fontId="0" fillId="5" borderId="0" xfId="0" applyFill="1" applyAlignment="1">
      <alignment textRotation="90" wrapText="1"/>
    </xf>
    <xf numFmtId="0" fontId="58" fillId="5" borderId="100" xfId="0" applyFont="1" applyFill="1" applyBorder="1"/>
    <xf numFmtId="0" fontId="81" fillId="25" borderId="50" xfId="0" applyFont="1" applyFill="1" applyBorder="1" applyAlignment="1">
      <alignment wrapText="1"/>
    </xf>
    <xf numFmtId="1" fontId="5" fillId="24" borderId="97" xfId="0" applyNumberFormat="1" applyFont="1" applyFill="1" applyBorder="1"/>
    <xf numFmtId="1" fontId="5" fillId="24" borderId="64" xfId="0" applyNumberFormat="1" applyFont="1" applyFill="1" applyBorder="1"/>
    <xf numFmtId="1" fontId="5" fillId="24" borderId="53" xfId="0" applyNumberFormat="1" applyFont="1" applyFill="1" applyBorder="1"/>
    <xf numFmtId="1" fontId="5" fillId="30" borderId="64" xfId="0" applyNumberFormat="1" applyFont="1" applyFill="1" applyBorder="1"/>
    <xf numFmtId="0" fontId="6" fillId="5" borderId="63" xfId="0" applyFont="1" applyFill="1" applyBorder="1"/>
    <xf numFmtId="0" fontId="6" fillId="5" borderId="63" xfId="0" applyFont="1" applyFill="1" applyBorder="1" applyAlignment="1">
      <alignment wrapText="1"/>
    </xf>
    <xf numFmtId="0" fontId="6" fillId="5" borderId="37" xfId="0" applyFont="1" applyFill="1" applyBorder="1" applyAlignment="1">
      <alignment wrapText="1"/>
    </xf>
    <xf numFmtId="0" fontId="58" fillId="5" borderId="63" xfId="0" applyFont="1" applyFill="1" applyBorder="1" applyAlignment="1">
      <alignment wrapText="1"/>
    </xf>
    <xf numFmtId="0" fontId="0" fillId="24" borderId="57" xfId="0" applyFill="1" applyBorder="1"/>
    <xf numFmtId="165" fontId="0" fillId="24" borderId="57" xfId="0" applyNumberFormat="1" applyFill="1" applyBorder="1"/>
    <xf numFmtId="1" fontId="0" fillId="5" borderId="60" xfId="0" applyNumberFormat="1" applyFill="1" applyBorder="1"/>
    <xf numFmtId="165" fontId="0" fillId="5" borderId="48" xfId="0" applyNumberFormat="1" applyFill="1" applyBorder="1"/>
    <xf numFmtId="165" fontId="0" fillId="5" borderId="110" xfId="0" applyNumberFormat="1" applyFill="1" applyBorder="1"/>
    <xf numFmtId="0" fontId="5" fillId="24" borderId="56" xfId="0" applyFont="1" applyFill="1" applyBorder="1"/>
    <xf numFmtId="1" fontId="5" fillId="24" borderId="57" xfId="0" applyNumberFormat="1" applyFont="1" applyFill="1" applyBorder="1"/>
    <xf numFmtId="0" fontId="5" fillId="5" borderId="106" xfId="0" applyFont="1" applyFill="1" applyBorder="1"/>
    <xf numFmtId="0" fontId="0" fillId="5" borderId="60" xfId="0" applyFill="1" applyBorder="1"/>
    <xf numFmtId="1" fontId="5" fillId="5" borderId="60" xfId="0" applyNumberFormat="1" applyFont="1" applyFill="1" applyBorder="1"/>
    <xf numFmtId="165" fontId="0" fillId="5" borderId="60" xfId="0" applyNumberFormat="1" applyFill="1" applyBorder="1"/>
    <xf numFmtId="0" fontId="6" fillId="5" borderId="110" xfId="0" applyFont="1" applyFill="1" applyBorder="1" applyAlignment="1">
      <alignment horizontal="center" vertical="center" wrapText="1"/>
    </xf>
    <xf numFmtId="165" fontId="0" fillId="0" borderId="104" xfId="0" applyNumberFormat="1" applyBorder="1"/>
    <xf numFmtId="0" fontId="82" fillId="5" borderId="0" xfId="0" applyFont="1" applyFill="1" applyAlignment="1">
      <alignment horizontal="center" vertical="center"/>
    </xf>
    <xf numFmtId="0" fontId="83" fillId="5" borderId="63" xfId="0" applyFont="1" applyFill="1" applyBorder="1" applyAlignment="1">
      <alignment horizontal="center" vertical="center" wrapText="1"/>
    </xf>
    <xf numFmtId="49" fontId="9" fillId="5" borderId="61" xfId="65" applyNumberFormat="1" applyFill="1" applyBorder="1" applyAlignment="1">
      <alignment horizontal="left" vertical="center"/>
    </xf>
    <xf numFmtId="0" fontId="5" fillId="31" borderId="104" xfId="0" applyFont="1" applyFill="1" applyBorder="1"/>
    <xf numFmtId="0" fontId="51" fillId="5" borderId="61" xfId="0" applyFont="1" applyFill="1" applyBorder="1"/>
    <xf numFmtId="0" fontId="6" fillId="0" borderId="0" xfId="0" applyFont="1" applyAlignment="1">
      <alignment textRotation="90" wrapText="1"/>
    </xf>
    <xf numFmtId="0" fontId="0" fillId="21" borderId="61" xfId="0" applyFill="1" applyBorder="1"/>
    <xf numFmtId="49" fontId="5" fillId="5" borderId="0" xfId="0" applyNumberFormat="1" applyFont="1" applyFill="1" applyAlignment="1">
      <alignment horizontal="left"/>
    </xf>
    <xf numFmtId="49" fontId="9" fillId="5" borderId="0" xfId="65" applyNumberFormat="1" applyFill="1" applyAlignment="1">
      <alignment horizontal="left" vertical="center"/>
    </xf>
    <xf numFmtId="0" fontId="5" fillId="22" borderId="0" xfId="0" applyFont="1" applyFill="1"/>
    <xf numFmtId="2" fontId="5" fillId="22" borderId="0" xfId="0" applyNumberFormat="1" applyFont="1" applyFill="1"/>
    <xf numFmtId="0" fontId="5" fillId="5" borderId="0" xfId="0" applyFont="1" applyFill="1" applyAlignment="1">
      <alignment horizontal="left" wrapText="1"/>
    </xf>
    <xf numFmtId="2" fontId="5" fillId="5" borderId="0" xfId="0" applyNumberFormat="1" applyFont="1" applyFill="1" applyAlignment="1">
      <alignment horizontal="right"/>
    </xf>
    <xf numFmtId="165" fontId="5" fillId="5" borderId="0" xfId="0" applyNumberFormat="1" applyFont="1" applyFill="1"/>
    <xf numFmtId="0" fontId="5" fillId="31" borderId="39" xfId="0" applyFont="1" applyFill="1" applyBorder="1"/>
    <xf numFmtId="0" fontId="52" fillId="31" borderId="92" xfId="65" applyFont="1" applyFill="1" applyBorder="1" applyAlignment="1">
      <alignment horizontal="left" vertical="center" wrapText="1"/>
    </xf>
    <xf numFmtId="2" fontId="5" fillId="31" borderId="86" xfId="0" applyNumberFormat="1" applyFont="1" applyFill="1" applyBorder="1" applyAlignment="1">
      <alignment horizontal="right"/>
    </xf>
    <xf numFmtId="4" fontId="5" fillId="5" borderId="0" xfId="0" applyNumberFormat="1" applyFont="1" applyFill="1"/>
    <xf numFmtId="0" fontId="6" fillId="5" borderId="0" xfId="0" applyFont="1" applyFill="1" applyAlignment="1">
      <alignment wrapText="1"/>
    </xf>
    <xf numFmtId="49" fontId="6" fillId="5" borderId="0" xfId="0" applyNumberFormat="1" applyFont="1" applyFill="1"/>
    <xf numFmtId="1" fontId="6" fillId="5" borderId="0" xfId="0" applyNumberFormat="1" applyFont="1" applyFill="1" applyAlignment="1">
      <alignment wrapText="1"/>
    </xf>
    <xf numFmtId="4" fontId="6" fillId="5" borderId="0" xfId="0" applyNumberFormat="1" applyFont="1" applyFill="1" applyAlignment="1">
      <alignment wrapText="1"/>
    </xf>
    <xf numFmtId="49" fontId="5" fillId="0" borderId="87" xfId="0" applyNumberFormat="1" applyFont="1" applyBorder="1"/>
    <xf numFmtId="14" fontId="0" fillId="5" borderId="0" xfId="0" applyNumberFormat="1" applyFill="1" applyAlignment="1">
      <alignment horizontal="left"/>
    </xf>
    <xf numFmtId="0" fontId="5" fillId="5" borderId="61" xfId="0" applyFont="1" applyFill="1" applyBorder="1" applyAlignment="1">
      <alignment wrapText="1"/>
    </xf>
    <xf numFmtId="0" fontId="5" fillId="0" borderId="63" xfId="0" applyFont="1" applyBorder="1" applyAlignment="1">
      <alignment wrapText="1"/>
    </xf>
    <xf numFmtId="14" fontId="71" fillId="5" borderId="0" xfId="0" applyNumberFormat="1" applyFont="1" applyFill="1" applyAlignment="1">
      <alignment horizontal="left"/>
    </xf>
    <xf numFmtId="0" fontId="88" fillId="0" borderId="0" xfId="0" applyFont="1" applyAlignment="1">
      <alignment horizontal="left" vertical="top"/>
    </xf>
    <xf numFmtId="2" fontId="5" fillId="5" borderId="106" xfId="0" applyNumberFormat="1" applyFont="1" applyFill="1" applyBorder="1"/>
    <xf numFmtId="0" fontId="5" fillId="5" borderId="61" xfId="0" quotePrefix="1" applyFont="1" applyFill="1" applyBorder="1" applyAlignment="1">
      <alignment horizontal="left"/>
    </xf>
    <xf numFmtId="0" fontId="6" fillId="25" borderId="0" xfId="0" applyFont="1" applyFill="1"/>
    <xf numFmtId="0" fontId="5" fillId="0" borderId="106" xfId="0" applyFont="1" applyBorder="1" applyAlignment="1">
      <alignment wrapText="1"/>
    </xf>
    <xf numFmtId="0" fontId="6" fillId="0" borderId="37" xfId="0" applyFont="1" applyBorder="1"/>
    <xf numFmtId="2" fontId="6" fillId="0" borderId="37" xfId="0" applyNumberFormat="1" applyFont="1" applyBorder="1"/>
    <xf numFmtId="2" fontId="5" fillId="5" borderId="33" xfId="0" applyNumberFormat="1" applyFont="1" applyFill="1" applyBorder="1"/>
    <xf numFmtId="0" fontId="5" fillId="0" borderId="0" xfId="0" applyFont="1" applyAlignment="1">
      <alignment horizontal="center"/>
    </xf>
    <xf numFmtId="0" fontId="5" fillId="0" borderId="26" xfId="0" applyFont="1" applyBorder="1" applyAlignment="1">
      <alignment wrapText="1"/>
    </xf>
    <xf numFmtId="49" fontId="5" fillId="0" borderId="0" xfId="0" applyNumberFormat="1" applyFont="1" applyAlignment="1">
      <alignment horizontal="left"/>
    </xf>
    <xf numFmtId="0" fontId="51" fillId="5" borderId="0" xfId="0" applyFont="1" applyFill="1"/>
    <xf numFmtId="0" fontId="5" fillId="23" borderId="61" xfId="0" applyFont="1" applyFill="1" applyBorder="1" applyAlignment="1">
      <alignment wrapText="1"/>
    </xf>
    <xf numFmtId="0" fontId="5" fillId="23" borderId="37" xfId="0" applyFont="1" applyFill="1" applyBorder="1"/>
    <xf numFmtId="0" fontId="6" fillId="21" borderId="89" xfId="0" applyFont="1" applyFill="1" applyBorder="1" applyAlignment="1">
      <alignment wrapText="1"/>
    </xf>
    <xf numFmtId="0" fontId="5" fillId="0" borderId="104" xfId="0" applyFont="1" applyBorder="1"/>
    <xf numFmtId="0" fontId="5" fillId="5" borderId="104" xfId="0" applyFont="1" applyFill="1" applyBorder="1"/>
    <xf numFmtId="0" fontId="5" fillId="0" borderId="114" xfId="0" applyFont="1" applyBorder="1"/>
    <xf numFmtId="0" fontId="5" fillId="21" borderId="0" xfId="0" applyFont="1" applyFill="1" applyAlignment="1">
      <alignment horizontal="center"/>
    </xf>
    <xf numFmtId="2" fontId="5" fillId="21" borderId="0" xfId="0" applyNumberFormat="1" applyFont="1" applyFill="1" applyAlignment="1">
      <alignment horizontal="right"/>
    </xf>
    <xf numFmtId="0" fontId="5" fillId="21" borderId="0" xfId="0" applyFont="1" applyFill="1" applyAlignment="1">
      <alignment horizontal="center" wrapText="1"/>
    </xf>
    <xf numFmtId="4" fontId="5" fillId="5" borderId="33" xfId="0" applyNumberFormat="1" applyFont="1" applyFill="1" applyBorder="1"/>
    <xf numFmtId="169" fontId="9" fillId="5" borderId="92" xfId="111" applyNumberFormat="1" applyFill="1" applyBorder="1" applyAlignment="1">
      <alignment horizontal="left" vertical="center"/>
    </xf>
    <xf numFmtId="0" fontId="5" fillId="5" borderId="86" xfId="0" applyFont="1" applyFill="1" applyBorder="1" applyAlignment="1">
      <alignment wrapText="1"/>
    </xf>
    <xf numFmtId="1" fontId="5" fillId="0" borderId="86" xfId="0" applyNumberFormat="1" applyFont="1" applyBorder="1" applyAlignment="1">
      <alignment horizontal="right"/>
    </xf>
    <xf numFmtId="4" fontId="5" fillId="0" borderId="86" xfId="0" applyNumberFormat="1" applyFont="1" applyBorder="1" applyAlignment="1">
      <alignment horizontal="right"/>
    </xf>
    <xf numFmtId="49" fontId="52" fillId="0" borderId="61" xfId="65" quotePrefix="1" applyNumberFormat="1" applyFont="1" applyBorder="1" applyAlignment="1">
      <alignment horizontal="left" vertical="center"/>
    </xf>
    <xf numFmtId="49" fontId="52" fillId="0" borderId="86" xfId="65" quotePrefix="1" applyNumberFormat="1" applyFont="1" applyBorder="1" applyAlignment="1">
      <alignment horizontal="left" vertical="center"/>
    </xf>
    <xf numFmtId="0" fontId="6" fillId="21" borderId="104" xfId="0" applyFont="1" applyFill="1" applyBorder="1" applyAlignment="1">
      <alignment wrapText="1"/>
    </xf>
    <xf numFmtId="0" fontId="6" fillId="21" borderId="86" xfId="0" applyFont="1" applyFill="1" applyBorder="1" applyAlignment="1">
      <alignment wrapText="1"/>
    </xf>
    <xf numFmtId="4" fontId="5" fillId="0" borderId="33" xfId="0" applyNumberFormat="1" applyFont="1" applyBorder="1" applyAlignment="1">
      <alignment horizontal="right"/>
    </xf>
    <xf numFmtId="4" fontId="5" fillId="0" borderId="33" xfId="0" applyNumberFormat="1" applyFont="1" applyBorder="1"/>
    <xf numFmtId="4" fontId="5" fillId="31" borderId="33" xfId="0" applyNumberFormat="1" applyFont="1" applyFill="1" applyBorder="1"/>
    <xf numFmtId="165" fontId="5" fillId="31" borderId="33" xfId="0" applyNumberFormat="1" applyFont="1" applyFill="1" applyBorder="1"/>
    <xf numFmtId="0" fontId="52" fillId="5" borderId="0" xfId="65" applyFont="1" applyFill="1" applyAlignment="1">
      <alignment vertical="center" wrapText="1"/>
    </xf>
    <xf numFmtId="0" fontId="52" fillId="0" borderId="34" xfId="65" applyFont="1" applyBorder="1" applyAlignment="1">
      <alignment vertical="center" wrapText="1"/>
    </xf>
    <xf numFmtId="4" fontId="5" fillId="0" borderId="25" xfId="0" applyNumberFormat="1" applyFont="1" applyBorder="1"/>
    <xf numFmtId="4" fontId="5" fillId="0" borderId="40" xfId="0" applyNumberFormat="1" applyFont="1" applyBorder="1"/>
    <xf numFmtId="0" fontId="6" fillId="0" borderId="104" xfId="0" applyFont="1" applyBorder="1" applyAlignment="1">
      <alignment wrapText="1"/>
    </xf>
    <xf numFmtId="0" fontId="5" fillId="0" borderId="104" xfId="0" applyFont="1" applyBorder="1" applyAlignment="1">
      <alignment horizontal="center"/>
    </xf>
    <xf numFmtId="0" fontId="5" fillId="0" borderId="87" xfId="0" applyFont="1" applyBorder="1" applyAlignment="1">
      <alignment wrapText="1"/>
    </xf>
    <xf numFmtId="49" fontId="52" fillId="0" borderId="87" xfId="65" applyNumberFormat="1" applyFont="1" applyBorder="1" applyAlignment="1">
      <alignment horizontal="left" vertical="center"/>
    </xf>
    <xf numFmtId="1" fontId="5" fillId="0" borderId="87" xfId="0" applyNumberFormat="1" applyFont="1" applyBorder="1"/>
    <xf numFmtId="4" fontId="5" fillId="0" borderId="87" xfId="0" applyNumberFormat="1" applyFont="1" applyBorder="1"/>
    <xf numFmtId="4" fontId="5" fillId="0" borderId="89" xfId="0" applyNumberFormat="1" applyFont="1" applyBorder="1"/>
    <xf numFmtId="0" fontId="6" fillId="0" borderId="86" xfId="0" applyFont="1" applyBorder="1" applyAlignment="1">
      <alignment wrapText="1"/>
    </xf>
    <xf numFmtId="0" fontId="5" fillId="0" borderId="86" xfId="0" applyFont="1" applyBorder="1" applyAlignment="1">
      <alignment horizontal="center"/>
    </xf>
    <xf numFmtId="0" fontId="5" fillId="0" borderId="104" xfId="0" applyFont="1" applyBorder="1" applyAlignment="1">
      <alignment wrapText="1"/>
    </xf>
    <xf numFmtId="0" fontId="5" fillId="21" borderId="104" xfId="0" applyFont="1" applyFill="1" applyBorder="1" applyAlignment="1">
      <alignment horizontal="center" wrapText="1"/>
    </xf>
    <xf numFmtId="49" fontId="52" fillId="5" borderId="86" xfId="65" applyNumberFormat="1" applyFont="1" applyFill="1" applyBorder="1" applyAlignment="1">
      <alignment horizontal="left" vertical="center" wrapText="1"/>
    </xf>
    <xf numFmtId="0" fontId="5" fillId="21" borderId="86" xfId="0" applyFont="1" applyFill="1" applyBorder="1" applyAlignment="1">
      <alignment horizontal="center" wrapText="1"/>
    </xf>
    <xf numFmtId="0" fontId="5" fillId="0" borderId="107" xfId="0" applyFont="1" applyBorder="1"/>
    <xf numFmtId="49" fontId="52" fillId="0" borderId="106" xfId="65" applyNumberFormat="1" applyFont="1" applyBorder="1" applyAlignment="1">
      <alignment horizontal="left" vertical="center"/>
    </xf>
    <xf numFmtId="1" fontId="5" fillId="0" borderId="106" xfId="0" applyNumberFormat="1" applyFont="1" applyBorder="1"/>
    <xf numFmtId="4" fontId="5" fillId="0" borderId="106" xfId="0" applyNumberFormat="1" applyFont="1" applyBorder="1"/>
    <xf numFmtId="4" fontId="5" fillId="0" borderId="26" xfId="0" applyNumberFormat="1" applyFont="1" applyBorder="1"/>
    <xf numFmtId="0" fontId="5" fillId="0" borderId="88" xfId="0" applyFont="1" applyBorder="1" applyAlignment="1">
      <alignment wrapText="1"/>
    </xf>
    <xf numFmtId="0" fontId="6" fillId="0" borderId="88" xfId="0" applyFont="1" applyBorder="1" applyAlignment="1">
      <alignment wrapText="1"/>
    </xf>
    <xf numFmtId="0" fontId="5" fillId="0" borderId="88" xfId="0" applyFont="1" applyBorder="1" applyAlignment="1">
      <alignment horizontal="center"/>
    </xf>
    <xf numFmtId="49" fontId="52" fillId="0" borderId="0" xfId="65" applyNumberFormat="1" applyFont="1" applyAlignment="1">
      <alignment horizontal="left" vertical="center"/>
    </xf>
    <xf numFmtId="49" fontId="52" fillId="0" borderId="104" xfId="65" applyNumberFormat="1" applyFont="1" applyBorder="1" applyAlignment="1">
      <alignment horizontal="left" vertical="center"/>
    </xf>
    <xf numFmtId="1" fontId="5" fillId="0" borderId="104" xfId="0" applyNumberFormat="1" applyFont="1" applyBorder="1"/>
    <xf numFmtId="4" fontId="5" fillId="0" borderId="104" xfId="0" applyNumberFormat="1" applyFont="1" applyBorder="1"/>
    <xf numFmtId="49" fontId="5" fillId="0" borderId="25" xfId="0" applyNumberFormat="1" applyFont="1" applyBorder="1"/>
    <xf numFmtId="0" fontId="5" fillId="0" borderId="90" xfId="0" applyFont="1" applyBorder="1" applyAlignment="1">
      <alignment wrapText="1"/>
    </xf>
    <xf numFmtId="2" fontId="5" fillId="0" borderId="86" xfId="0" applyNumberFormat="1" applyFont="1" applyBorder="1" applyAlignment="1">
      <alignment horizontal="right"/>
    </xf>
    <xf numFmtId="169" fontId="9" fillId="0" borderId="86" xfId="111" applyNumberFormat="1" applyBorder="1" applyAlignment="1">
      <alignment horizontal="left" vertical="center"/>
    </xf>
    <xf numFmtId="1" fontId="5" fillId="25" borderId="0" xfId="0" applyNumberFormat="1" applyFont="1" applyFill="1"/>
    <xf numFmtId="0" fontId="0" fillId="5" borderId="25" xfId="0" applyFill="1" applyBorder="1"/>
    <xf numFmtId="0" fontId="52" fillId="25" borderId="0" xfId="0" applyFont="1" applyFill="1"/>
    <xf numFmtId="49" fontId="52" fillId="0" borderId="0" xfId="65" quotePrefix="1" applyNumberFormat="1" applyFont="1" applyAlignment="1">
      <alignment horizontal="left" vertical="center"/>
    </xf>
    <xf numFmtId="0" fontId="0" fillId="25" borderId="45" xfId="0" applyFill="1" applyBorder="1" applyAlignment="1">
      <alignment horizontal="left"/>
    </xf>
    <xf numFmtId="0" fontId="0" fillId="25" borderId="0" xfId="0" applyFill="1" applyAlignment="1">
      <alignment horizontal="left"/>
    </xf>
    <xf numFmtId="1" fontId="0" fillId="0" borderId="46" xfId="0" applyNumberFormat="1" applyBorder="1"/>
    <xf numFmtId="0" fontId="0" fillId="25" borderId="65" xfId="0" applyFill="1" applyBorder="1" applyAlignment="1">
      <alignment horizontal="left"/>
    </xf>
    <xf numFmtId="1" fontId="0" fillId="0" borderId="104" xfId="0" applyNumberFormat="1" applyBorder="1"/>
    <xf numFmtId="0" fontId="0" fillId="25" borderId="104" xfId="0" applyFill="1" applyBorder="1" applyAlignment="1">
      <alignment horizontal="left"/>
    </xf>
    <xf numFmtId="0" fontId="0" fillId="0" borderId="66" xfId="0" applyBorder="1"/>
    <xf numFmtId="0" fontId="0" fillId="23" borderId="104" xfId="0" applyFill="1" applyBorder="1"/>
    <xf numFmtId="0" fontId="0" fillId="0" borderId="65" xfId="0" applyBorder="1"/>
    <xf numFmtId="0" fontId="89" fillId="0" borderId="0" xfId="0" applyFont="1"/>
    <xf numFmtId="0" fontId="89" fillId="0" borderId="46" xfId="0" applyFont="1" applyBorder="1"/>
    <xf numFmtId="0" fontId="0" fillId="25" borderId="47" xfId="0" applyFill="1" applyBorder="1"/>
    <xf numFmtId="0" fontId="2" fillId="0" borderId="0" xfId="0" applyFont="1" applyAlignment="1">
      <alignment horizontal="left" vertical="center"/>
    </xf>
    <xf numFmtId="0" fontId="2" fillId="0" borderId="0" xfId="0" applyFont="1" applyAlignment="1">
      <alignment horizontal="left" vertical="top"/>
    </xf>
    <xf numFmtId="0" fontId="0" fillId="25" borderId="104" xfId="0" applyFill="1" applyBorder="1"/>
    <xf numFmtId="0" fontId="0" fillId="5" borderId="104" xfId="0" applyFill="1" applyBorder="1"/>
    <xf numFmtId="3" fontId="0" fillId="0" borderId="104" xfId="0" applyNumberFormat="1" applyBorder="1"/>
    <xf numFmtId="0" fontId="61" fillId="25" borderId="104" xfId="0" applyFont="1" applyFill="1" applyBorder="1"/>
    <xf numFmtId="0" fontId="58" fillId="32" borderId="104" xfId="0" applyFont="1" applyFill="1" applyBorder="1"/>
    <xf numFmtId="201" fontId="58" fillId="38" borderId="104" xfId="152" applyNumberFormat="1" applyFont="1" applyFill="1" applyBorder="1"/>
    <xf numFmtId="0" fontId="58" fillId="5" borderId="104" xfId="0" applyFont="1" applyFill="1" applyBorder="1"/>
    <xf numFmtId="201" fontId="58" fillId="5" borderId="104" xfId="152" applyNumberFormat="1" applyFont="1" applyFill="1" applyBorder="1"/>
    <xf numFmtId="0" fontId="61" fillId="0" borderId="104" xfId="0" applyFont="1" applyBorder="1"/>
    <xf numFmtId="2" fontId="0" fillId="0" borderId="104" xfId="0" applyNumberFormat="1" applyBorder="1"/>
    <xf numFmtId="49" fontId="5" fillId="0" borderId="106" xfId="0" applyNumberFormat="1" applyFont="1" applyBorder="1"/>
    <xf numFmtId="0" fontId="5" fillId="23" borderId="104" xfId="0" applyFont="1" applyFill="1" applyBorder="1"/>
    <xf numFmtId="0" fontId="5" fillId="5" borderId="104" xfId="0" applyFont="1" applyFill="1" applyBorder="1" applyAlignment="1">
      <alignment wrapText="1"/>
    </xf>
    <xf numFmtId="0" fontId="5" fillId="5" borderId="107" xfId="0" applyFont="1" applyFill="1" applyBorder="1"/>
    <xf numFmtId="0" fontId="9" fillId="5" borderId="115" xfId="65" applyFill="1" applyBorder="1" applyAlignment="1">
      <alignment vertical="center"/>
    </xf>
    <xf numFmtId="0" fontId="14" fillId="5" borderId="116" xfId="65" applyFont="1" applyFill="1" applyBorder="1" applyAlignment="1">
      <alignment vertical="center"/>
    </xf>
    <xf numFmtId="0" fontId="14" fillId="5" borderId="115" xfId="65" applyFont="1" applyFill="1" applyBorder="1" applyAlignment="1">
      <alignment vertical="center" wrapText="1"/>
    </xf>
    <xf numFmtId="0" fontId="20" fillId="5" borderId="117" xfId="65" applyFont="1" applyFill="1" applyBorder="1" applyAlignment="1">
      <alignment vertical="center" wrapText="1"/>
    </xf>
    <xf numFmtId="0" fontId="9" fillId="5" borderId="117" xfId="0" applyFont="1" applyFill="1" applyBorder="1" applyAlignment="1">
      <alignment vertical="center"/>
    </xf>
    <xf numFmtId="0" fontId="37" fillId="5" borderId="115" xfId="0" applyFont="1" applyFill="1" applyBorder="1" applyAlignment="1">
      <alignment horizontal="left" vertical="center" wrapText="1"/>
    </xf>
    <xf numFmtId="0" fontId="9" fillId="5" borderId="116" xfId="0" applyFont="1" applyFill="1" applyBorder="1" applyAlignment="1">
      <alignment vertical="center" wrapText="1"/>
    </xf>
    <xf numFmtId="11" fontId="37" fillId="5" borderId="116" xfId="0" applyNumberFormat="1" applyFont="1" applyFill="1" applyBorder="1" applyAlignment="1">
      <alignment vertical="center" wrapText="1"/>
    </xf>
    <xf numFmtId="11" fontId="37" fillId="5" borderId="116" xfId="0" applyNumberFormat="1" applyFont="1" applyFill="1" applyBorder="1" applyAlignment="1">
      <alignment horizontal="center" vertical="center" wrapText="1"/>
    </xf>
    <xf numFmtId="11" fontId="37" fillId="5" borderId="116" xfId="0" applyNumberFormat="1" applyFont="1" applyFill="1" applyBorder="1" applyAlignment="1">
      <alignment horizontal="left" vertical="center" wrapText="1"/>
    </xf>
    <xf numFmtId="166" fontId="5" fillId="31" borderId="0" xfId="0" applyNumberFormat="1" applyFont="1" applyFill="1"/>
    <xf numFmtId="2" fontId="6" fillId="21" borderId="0" xfId="0" applyNumberFormat="1" applyFont="1" applyFill="1" applyAlignment="1">
      <alignment wrapText="1"/>
    </xf>
    <xf numFmtId="0" fontId="5" fillId="0" borderId="39" xfId="0" applyFont="1" applyBorder="1"/>
    <xf numFmtId="49" fontId="52" fillId="0" borderId="63" xfId="65" applyNumberFormat="1" applyFont="1" applyBorder="1" applyAlignment="1">
      <alignment horizontal="left" vertical="center"/>
    </xf>
    <xf numFmtId="1" fontId="5" fillId="0" borderId="63" xfId="0" applyNumberFormat="1" applyFont="1" applyBorder="1"/>
    <xf numFmtId="4" fontId="5" fillId="0" borderId="63" xfId="0" applyNumberFormat="1" applyFont="1" applyBorder="1"/>
    <xf numFmtId="4" fontId="5" fillId="0" borderId="37" xfId="0" applyNumberFormat="1" applyFont="1" applyBorder="1"/>
    <xf numFmtId="49" fontId="52" fillId="0" borderId="86" xfId="65" applyNumberFormat="1" applyFont="1" applyBorder="1" applyAlignment="1">
      <alignment horizontal="left" vertical="center"/>
    </xf>
    <xf numFmtId="2" fontId="6" fillId="21" borderId="86" xfId="0" applyNumberFormat="1" applyFont="1" applyFill="1" applyBorder="1" applyAlignment="1">
      <alignment wrapText="1"/>
    </xf>
    <xf numFmtId="0" fontId="52" fillId="5" borderId="39" xfId="65" applyFont="1" applyFill="1" applyBorder="1" applyAlignment="1">
      <alignment vertical="center" wrapText="1"/>
    </xf>
    <xf numFmtId="49" fontId="52" fillId="5" borderId="119" xfId="65" applyNumberFormat="1" applyFont="1" applyFill="1" applyBorder="1" applyAlignment="1">
      <alignment horizontal="left" vertical="center" wrapText="1"/>
    </xf>
    <xf numFmtId="0" fontId="52" fillId="5" borderId="86" xfId="65" applyFont="1" applyFill="1" applyBorder="1" applyAlignment="1">
      <alignment vertical="center" wrapText="1"/>
    </xf>
    <xf numFmtId="2" fontId="6" fillId="21" borderId="86" xfId="0" applyNumberFormat="1" applyFont="1" applyFill="1" applyBorder="1"/>
    <xf numFmtId="169" fontId="9" fillId="0" borderId="0" xfId="111" applyNumberFormat="1" applyAlignment="1">
      <alignment horizontal="left" vertical="center"/>
    </xf>
    <xf numFmtId="0" fontId="5" fillId="5" borderId="33" xfId="0" applyFont="1" applyFill="1" applyBorder="1"/>
    <xf numFmtId="0" fontId="5" fillId="5" borderId="61" xfId="0" quotePrefix="1" applyFont="1" applyFill="1" applyBorder="1"/>
    <xf numFmtId="169" fontId="9" fillId="23" borderId="92" xfId="65" quotePrefix="1" applyNumberFormat="1" applyFill="1" applyBorder="1" applyAlignment="1">
      <alignment horizontal="left" vertical="center"/>
    </xf>
    <xf numFmtId="0" fontId="5" fillId="21" borderId="104" xfId="0" applyFont="1" applyFill="1" applyBorder="1" applyAlignment="1">
      <alignment horizontal="center"/>
    </xf>
    <xf numFmtId="2" fontId="0" fillId="5" borderId="104" xfId="0" applyNumberFormat="1" applyFill="1" applyBorder="1"/>
    <xf numFmtId="202" fontId="0" fillId="0" borderId="0" xfId="0" applyNumberFormat="1"/>
    <xf numFmtId="0" fontId="58" fillId="0" borderId="0" xfId="0" applyFont="1"/>
    <xf numFmtId="0" fontId="12" fillId="3" borderId="7" xfId="65" applyFont="1" applyFill="1" applyBorder="1" applyAlignment="1">
      <alignment vertical="center"/>
    </xf>
    <xf numFmtId="0" fontId="12" fillId="3" borderId="9" xfId="65" applyFont="1" applyFill="1" applyBorder="1" applyAlignment="1">
      <alignmen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13" fillId="4" borderId="9" xfId="0" applyFont="1" applyFill="1" applyBorder="1" applyAlignment="1">
      <alignment horizontal="left" vertical="center"/>
    </xf>
    <xf numFmtId="0" fontId="13" fillId="3" borderId="9" xfId="65" applyFont="1" applyFill="1" applyBorder="1" applyAlignment="1">
      <alignment vertical="center"/>
    </xf>
    <xf numFmtId="0" fontId="13" fillId="3" borderId="10" xfId="65" applyFont="1" applyFill="1" applyBorder="1" applyAlignment="1">
      <alignment horizontal="right" vertical="center"/>
    </xf>
    <xf numFmtId="0" fontId="12" fillId="5" borderId="0" xfId="65" applyFont="1" applyFill="1" applyAlignment="1">
      <alignment vertical="center"/>
    </xf>
    <xf numFmtId="0" fontId="9" fillId="11" borderId="23" xfId="111" quotePrefix="1" applyFill="1" applyBorder="1" applyAlignment="1">
      <alignment horizontal="left" vertical="center" wrapText="1"/>
    </xf>
    <xf numFmtId="169" fontId="26" fillId="11" borderId="23" xfId="65" quotePrefix="1" applyNumberFormat="1" applyFont="1" applyFill="1" applyBorder="1" applyAlignment="1">
      <alignment horizontal="left" vertical="center"/>
    </xf>
    <xf numFmtId="165" fontId="24" fillId="12" borderId="23" xfId="65" applyNumberFormat="1" applyFont="1" applyFill="1" applyBorder="1" applyAlignment="1">
      <alignment horizontal="center" vertical="center" wrapText="1"/>
    </xf>
    <xf numFmtId="170" fontId="24" fillId="11" borderId="23" xfId="65" applyNumberFormat="1" applyFont="1" applyFill="1" applyBorder="1" applyAlignment="1">
      <alignment horizontal="center" vertical="center" wrapText="1"/>
    </xf>
    <xf numFmtId="0" fontId="10" fillId="5" borderId="0" xfId="0" applyFont="1" applyFill="1"/>
    <xf numFmtId="3" fontId="12" fillId="3" borderId="9" xfId="0" applyNumberFormat="1" applyFont="1" applyFill="1" applyBorder="1" applyAlignment="1">
      <alignment horizontal="center"/>
    </xf>
    <xf numFmtId="3" fontId="13" fillId="3" borderId="9" xfId="0" applyNumberFormat="1" applyFont="1" applyFill="1" applyBorder="1" applyAlignment="1">
      <alignment horizontal="center"/>
    </xf>
    <xf numFmtId="167" fontId="12" fillId="3" borderId="9" xfId="0" applyNumberFormat="1" applyFont="1" applyFill="1" applyBorder="1" applyAlignment="1">
      <alignment horizontal="center"/>
    </xf>
    <xf numFmtId="0" fontId="12" fillId="5" borderId="0" xfId="0" applyFont="1" applyFill="1"/>
    <xf numFmtId="49" fontId="26" fillId="5" borderId="23" xfId="65" applyNumberFormat="1" applyFont="1" applyFill="1" applyBorder="1" applyAlignment="1">
      <alignment vertical="center"/>
    </xf>
    <xf numFmtId="0" fontId="26" fillId="5" borderId="23" xfId="65" quotePrefix="1" applyFont="1" applyFill="1" applyBorder="1" applyAlignment="1">
      <alignment horizontal="left" vertical="center" wrapText="1"/>
    </xf>
    <xf numFmtId="0" fontId="26" fillId="0" borderId="23" xfId="65" quotePrefix="1" applyFont="1" applyBorder="1" applyAlignment="1">
      <alignment vertical="center" wrapText="1"/>
    </xf>
    <xf numFmtId="0" fontId="9" fillId="5" borderId="115" xfId="0" applyFont="1" applyFill="1" applyBorder="1" applyAlignment="1">
      <alignment horizontal="left"/>
    </xf>
    <xf numFmtId="0" fontId="10" fillId="5" borderId="120" xfId="0" applyFont="1" applyFill="1" applyBorder="1"/>
    <xf numFmtId="0" fontId="13" fillId="5" borderId="0" xfId="0" applyFont="1" applyFill="1" applyAlignment="1">
      <alignment horizontal="left"/>
    </xf>
    <xf numFmtId="0" fontId="9" fillId="5" borderId="0" xfId="0" applyFont="1" applyFill="1" applyAlignment="1">
      <alignment wrapText="1"/>
    </xf>
    <xf numFmtId="11" fontId="9" fillId="5" borderId="0" xfId="0" applyNumberFormat="1" applyFont="1" applyFill="1" applyAlignment="1">
      <alignment wrapText="1"/>
    </xf>
    <xf numFmtId="0" fontId="9" fillId="5" borderId="0" xfId="0" applyFont="1" applyFill="1" applyAlignment="1">
      <alignment vertical="center" wrapText="1"/>
    </xf>
    <xf numFmtId="0" fontId="5" fillId="23" borderId="61" xfId="0" applyFont="1" applyFill="1" applyBorder="1"/>
    <xf numFmtId="0" fontId="5" fillId="25" borderId="0" xfId="0" applyFont="1" applyFill="1" applyAlignment="1">
      <alignment horizontal="center" vertical="center" textRotation="90" wrapText="1"/>
    </xf>
    <xf numFmtId="0" fontId="6" fillId="25" borderId="0" xfId="0" applyFont="1" applyFill="1" applyAlignment="1">
      <alignment horizontal="center" vertical="center" wrapText="1"/>
    </xf>
    <xf numFmtId="0" fontId="5" fillId="32" borderId="0" xfId="0" applyFont="1" applyFill="1"/>
    <xf numFmtId="0" fontId="6" fillId="5" borderId="0" xfId="0" applyFont="1" applyFill="1" applyAlignment="1">
      <alignment horizontal="center" vertical="center" wrapText="1"/>
    </xf>
    <xf numFmtId="1" fontId="5" fillId="23" borderId="61" xfId="0" applyNumberFormat="1" applyFont="1" applyFill="1" applyBorder="1" applyAlignment="1">
      <alignment horizontal="right"/>
    </xf>
    <xf numFmtId="1" fontId="5" fillId="23" borderId="61" xfId="0" applyNumberFormat="1" applyFont="1" applyFill="1" applyBorder="1"/>
    <xf numFmtId="0" fontId="6" fillId="23" borderId="0" xfId="0" applyFont="1" applyFill="1" applyAlignment="1">
      <alignment wrapText="1"/>
    </xf>
    <xf numFmtId="49" fontId="5" fillId="0" borderId="61" xfId="0" applyNumberFormat="1" applyFont="1" applyBorder="1" applyAlignment="1">
      <alignment horizontal="right"/>
    </xf>
    <xf numFmtId="4" fontId="5" fillId="5" borderId="61" xfId="0" applyNumberFormat="1" applyFont="1" applyFill="1" applyBorder="1" applyAlignment="1">
      <alignment horizontal="right"/>
    </xf>
    <xf numFmtId="1" fontId="5" fillId="5" borderId="86" xfId="0" applyNumberFormat="1" applyFont="1" applyFill="1" applyBorder="1" applyAlignment="1">
      <alignment wrapText="1"/>
    </xf>
    <xf numFmtId="1" fontId="5" fillId="5" borderId="86" xfId="0" applyNumberFormat="1" applyFont="1" applyFill="1" applyBorder="1" applyAlignment="1">
      <alignment horizontal="right"/>
    </xf>
    <xf numFmtId="4" fontId="6" fillId="0" borderId="61" xfId="0" applyNumberFormat="1" applyFont="1" applyBorder="1" applyAlignment="1">
      <alignment horizontal="right"/>
    </xf>
    <xf numFmtId="0" fontId="91" fillId="5" borderId="0" xfId="0" applyFont="1" applyFill="1"/>
    <xf numFmtId="0" fontId="0" fillId="44" borderId="0" xfId="0" applyFill="1"/>
    <xf numFmtId="0" fontId="90" fillId="0" borderId="47" xfId="0" applyFont="1" applyBorder="1"/>
    <xf numFmtId="0" fontId="0" fillId="46" borderId="0" xfId="0" applyFill="1"/>
    <xf numFmtId="0" fontId="0" fillId="45" borderId="0" xfId="0" applyFill="1"/>
    <xf numFmtId="0" fontId="0" fillId="45" borderId="45" xfId="0" applyFill="1" applyBorder="1"/>
    <xf numFmtId="0" fontId="0" fillId="45" borderId="47" xfId="0" applyFill="1" applyBorder="1"/>
    <xf numFmtId="2" fontId="0" fillId="45" borderId="48" xfId="0" applyNumberFormat="1" applyFill="1" applyBorder="1"/>
    <xf numFmtId="2" fontId="0" fillId="45" borderId="111" xfId="0" applyNumberFormat="1" applyFill="1" applyBorder="1"/>
    <xf numFmtId="0" fontId="0" fillId="45" borderId="49" xfId="0" applyFill="1" applyBorder="1"/>
    <xf numFmtId="2" fontId="0" fillId="45" borderId="46" xfId="0" applyNumberFormat="1" applyFill="1" applyBorder="1"/>
    <xf numFmtId="0" fontId="0" fillId="45" borderId="46" xfId="0" applyFill="1" applyBorder="1"/>
    <xf numFmtId="0" fontId="0" fillId="45" borderId="48" xfId="0" applyFill="1" applyBorder="1"/>
    <xf numFmtId="165" fontId="0" fillId="45" borderId="46" xfId="0" applyNumberFormat="1" applyFill="1" applyBorder="1"/>
    <xf numFmtId="0" fontId="69" fillId="0" borderId="0" xfId="0" applyFont="1"/>
    <xf numFmtId="0" fontId="0" fillId="0" borderId="0" xfId="134" applyNumberFormat="1" applyFont="1" applyFill="1" applyBorder="1"/>
    <xf numFmtId="0" fontId="69" fillId="45" borderId="0" xfId="0" applyFont="1" applyFill="1"/>
    <xf numFmtId="0" fontId="69" fillId="45" borderId="51" xfId="0" applyFont="1" applyFill="1" applyBorder="1"/>
    <xf numFmtId="0" fontId="72" fillId="0" borderId="0" xfId="0" applyFont="1"/>
    <xf numFmtId="0" fontId="70" fillId="0" borderId="0" xfId="0" applyFont="1"/>
    <xf numFmtId="0" fontId="57" fillId="0" borderId="0" xfId="0" applyFont="1"/>
    <xf numFmtId="4" fontId="0" fillId="46" borderId="61" xfId="0" applyNumberFormat="1" applyFill="1" applyBorder="1" applyAlignment="1">
      <alignment horizontal="right" vertical="center"/>
    </xf>
    <xf numFmtId="0" fontId="0" fillId="46" borderId="45" xfId="0" applyFill="1" applyBorder="1"/>
    <xf numFmtId="0" fontId="0" fillId="0" borderId="0" xfId="0" quotePrefix="1"/>
    <xf numFmtId="0" fontId="0" fillId="45" borderId="107" xfId="0" applyFill="1" applyBorder="1"/>
    <xf numFmtId="0" fontId="0" fillId="45" borderId="111" xfId="0" applyFill="1" applyBorder="1"/>
    <xf numFmtId="165" fontId="0" fillId="45" borderId="43" xfId="0" applyNumberFormat="1" applyFill="1" applyBorder="1"/>
    <xf numFmtId="0" fontId="67" fillId="0" borderId="42" xfId="0" applyFont="1" applyBorder="1"/>
    <xf numFmtId="165" fontId="79" fillId="25" borderId="104" xfId="0" applyNumberFormat="1" applyFont="1" applyFill="1" applyBorder="1"/>
    <xf numFmtId="165" fontId="58" fillId="0" borderId="43" xfId="0" applyNumberFormat="1" applyFont="1" applyBorder="1"/>
    <xf numFmtId="165" fontId="58" fillId="0" borderId="44" xfId="0" applyNumberFormat="1" applyFont="1" applyBorder="1"/>
    <xf numFmtId="0" fontId="69" fillId="0" borderId="48" xfId="0" applyFont="1" applyBorder="1"/>
    <xf numFmtId="0" fontId="69" fillId="45" borderId="48" xfId="0" applyFont="1" applyFill="1" applyBorder="1"/>
    <xf numFmtId="0" fontId="69" fillId="45" borderId="52" xfId="0" applyFont="1" applyFill="1" applyBorder="1"/>
    <xf numFmtId="165" fontId="0" fillId="45" borderId="82" xfId="0" applyNumberFormat="1" applyFill="1" applyBorder="1"/>
    <xf numFmtId="165" fontId="0" fillId="45" borderId="83" xfId="0" applyNumberFormat="1" applyFill="1" applyBorder="1"/>
    <xf numFmtId="165" fontId="0" fillId="45" borderId="48" xfId="0" applyNumberFormat="1" applyFill="1" applyBorder="1"/>
    <xf numFmtId="166" fontId="0" fillId="45" borderId="126" xfId="0" applyNumberFormat="1" applyFill="1" applyBorder="1"/>
    <xf numFmtId="0" fontId="5" fillId="45" borderId="61" xfId="0" applyFont="1" applyFill="1" applyBorder="1"/>
    <xf numFmtId="0" fontId="0" fillId="0" borderId="107" xfId="0" applyBorder="1"/>
    <xf numFmtId="166" fontId="0" fillId="45" borderId="60" xfId="0" applyNumberFormat="1" applyFill="1" applyBorder="1"/>
    <xf numFmtId="166" fontId="0" fillId="45" borderId="25" xfId="0" applyNumberFormat="1" applyFill="1" applyBorder="1"/>
    <xf numFmtId="0" fontId="58" fillId="0" borderId="81" xfId="0" applyFont="1" applyBorder="1"/>
    <xf numFmtId="2" fontId="0" fillId="0" borderId="82" xfId="0" applyNumberFormat="1" applyBorder="1"/>
    <xf numFmtId="165" fontId="58" fillId="0" borderId="41" xfId="0" applyNumberFormat="1" applyFont="1" applyBorder="1"/>
    <xf numFmtId="0" fontId="0" fillId="0" borderId="0" xfId="0" applyAlignment="1">
      <alignment horizontal="left" vertical="center"/>
    </xf>
    <xf numFmtId="0" fontId="0" fillId="45" borderId="51" xfId="0" applyFill="1" applyBorder="1"/>
    <xf numFmtId="0" fontId="0" fillId="45" borderId="52" xfId="0" applyFill="1" applyBorder="1"/>
    <xf numFmtId="0" fontId="58" fillId="0" borderId="51" xfId="0" applyFont="1" applyBorder="1"/>
    <xf numFmtId="0" fontId="61" fillId="0" borderId="42" xfId="0" applyFont="1" applyBorder="1"/>
    <xf numFmtId="9" fontId="0" fillId="0" borderId="0" xfId="134" applyFont="1"/>
    <xf numFmtId="0" fontId="0" fillId="0" borderId="37" xfId="0" applyBorder="1"/>
    <xf numFmtId="0" fontId="0" fillId="0" borderId="39" xfId="0" applyBorder="1"/>
    <xf numFmtId="0" fontId="0" fillId="0" borderId="127" xfId="0" applyBorder="1"/>
    <xf numFmtId="0" fontId="0" fillId="0" borderId="107" xfId="0" applyBorder="1" applyAlignment="1">
      <alignment horizontal="left"/>
    </xf>
    <xf numFmtId="193" fontId="2" fillId="0" borderId="107" xfId="0" applyNumberFormat="1" applyFont="1" applyBorder="1" applyAlignment="1">
      <alignment horizontal="right"/>
    </xf>
    <xf numFmtId="0" fontId="0" fillId="0" borderId="40" xfId="0" applyBorder="1"/>
    <xf numFmtId="204" fontId="0" fillId="0" borderId="36" xfId="0" applyNumberFormat="1" applyBorder="1" applyAlignment="1">
      <alignment horizontal="right"/>
    </xf>
    <xf numFmtId="0" fontId="0" fillId="21" borderId="0" xfId="0" applyFill="1" applyAlignment="1">
      <alignment wrapText="1"/>
    </xf>
    <xf numFmtId="1" fontId="0" fillId="21" borderId="0" xfId="0" applyNumberFormat="1" applyFill="1"/>
    <xf numFmtId="0" fontId="69" fillId="21" borderId="0" xfId="0" applyFont="1" applyFill="1"/>
    <xf numFmtId="1" fontId="69" fillId="21" borderId="0" xfId="0" applyNumberFormat="1" applyFont="1" applyFill="1"/>
    <xf numFmtId="165" fontId="0" fillId="45" borderId="0" xfId="0" applyNumberFormat="1" applyFill="1"/>
    <xf numFmtId="165" fontId="0" fillId="45" borderId="41" xfId="0" applyNumberFormat="1" applyFill="1" applyBorder="1"/>
    <xf numFmtId="165" fontId="0" fillId="45" borderId="128" xfId="0" applyNumberFormat="1" applyFill="1" applyBorder="1"/>
    <xf numFmtId="0" fontId="0" fillId="0" borderId="67" xfId="0" applyBorder="1"/>
    <xf numFmtId="165" fontId="0" fillId="45" borderId="68" xfId="0" applyNumberFormat="1" applyFill="1" applyBorder="1"/>
    <xf numFmtId="165" fontId="0" fillId="45" borderId="66" xfId="0" applyNumberFormat="1" applyFill="1" applyBorder="1"/>
    <xf numFmtId="165" fontId="0" fillId="45" borderId="49" xfId="0" applyNumberFormat="1" applyFill="1" applyBorder="1"/>
    <xf numFmtId="1" fontId="0" fillId="0" borderId="48" xfId="0" applyNumberFormat="1" applyBorder="1"/>
    <xf numFmtId="2" fontId="0" fillId="0" borderId="48" xfId="0" applyNumberFormat="1" applyBorder="1"/>
    <xf numFmtId="0" fontId="0" fillId="0" borderId="95" xfId="0" applyBorder="1"/>
    <xf numFmtId="0" fontId="0" fillId="0" borderId="130" xfId="0" applyBorder="1"/>
    <xf numFmtId="2" fontId="0" fillId="0" borderId="49" xfId="0" applyNumberFormat="1" applyBorder="1"/>
    <xf numFmtId="0" fontId="0" fillId="0" borderId="133" xfId="0" applyBorder="1"/>
    <xf numFmtId="2" fontId="0" fillId="0" borderId="134" xfId="0" applyNumberFormat="1" applyBorder="1"/>
    <xf numFmtId="0" fontId="5" fillId="25" borderId="41" xfId="0" applyFont="1" applyFill="1" applyBorder="1" applyAlignment="1">
      <alignment vertical="center" textRotation="90" wrapText="1"/>
    </xf>
    <xf numFmtId="0" fontId="6" fillId="25" borderId="41" xfId="0" applyFont="1" applyFill="1" applyBorder="1" applyAlignment="1">
      <alignment horizontal="center" vertical="center"/>
    </xf>
    <xf numFmtId="0" fontId="58" fillId="25" borderId="0" xfId="0" applyFont="1" applyFill="1"/>
    <xf numFmtId="0" fontId="58" fillId="25" borderId="80" xfId="0" applyFont="1" applyFill="1" applyBorder="1" applyAlignment="1">
      <alignment wrapText="1"/>
    </xf>
    <xf numFmtId="0" fontId="58" fillId="25" borderId="66" xfId="0" applyFont="1" applyFill="1" applyBorder="1" applyAlignment="1">
      <alignment wrapText="1"/>
    </xf>
    <xf numFmtId="0" fontId="58" fillId="25" borderId="46" xfId="0" applyFont="1" applyFill="1" applyBorder="1" applyAlignment="1">
      <alignment wrapText="1"/>
    </xf>
    <xf numFmtId="165" fontId="0" fillId="39" borderId="66" xfId="0" applyNumberFormat="1" applyFill="1" applyBorder="1"/>
    <xf numFmtId="165" fontId="0" fillId="39" borderId="80" xfId="0" applyNumberFormat="1" applyFill="1" applyBorder="1"/>
    <xf numFmtId="2" fontId="0" fillId="39" borderId="66" xfId="0" applyNumberFormat="1" applyFill="1" applyBorder="1"/>
    <xf numFmtId="0" fontId="57" fillId="32" borderId="68" xfId="0" applyFont="1" applyFill="1" applyBorder="1"/>
    <xf numFmtId="194" fontId="0" fillId="39" borderId="66" xfId="0" applyNumberFormat="1" applyFill="1" applyBorder="1"/>
    <xf numFmtId="165" fontId="0" fillId="0" borderId="49" xfId="0" applyNumberFormat="1" applyBorder="1"/>
    <xf numFmtId="0" fontId="61" fillId="25" borderId="0" xfId="0" applyFont="1" applyFill="1"/>
    <xf numFmtId="0" fontId="78" fillId="25" borderId="41" xfId="0" applyFont="1" applyFill="1" applyBorder="1"/>
    <xf numFmtId="169" fontId="9" fillId="5" borderId="23" xfId="111" quotePrefix="1" applyNumberFormat="1" applyFill="1" applyBorder="1" applyAlignment="1">
      <alignment horizontal="left" vertical="center"/>
    </xf>
    <xf numFmtId="0" fontId="18" fillId="5" borderId="17" xfId="65" applyFont="1" applyFill="1" applyBorder="1" applyAlignment="1">
      <alignment vertical="center" wrapText="1"/>
    </xf>
    <xf numFmtId="0" fontId="9" fillId="5" borderId="17" xfId="0" applyFont="1" applyFill="1" applyBorder="1" applyAlignment="1">
      <alignment vertical="center"/>
    </xf>
    <xf numFmtId="0" fontId="18" fillId="5" borderId="17" xfId="65" applyFont="1" applyFill="1" applyBorder="1" applyAlignment="1">
      <alignment wrapText="1"/>
    </xf>
    <xf numFmtId="0" fontId="9" fillId="5" borderId="17" xfId="0" applyFont="1" applyFill="1" applyBorder="1"/>
    <xf numFmtId="0" fontId="9" fillId="5" borderId="17" xfId="0" applyFont="1" applyFill="1" applyBorder="1" applyAlignment="1">
      <alignment vertical="center" wrapText="1"/>
    </xf>
    <xf numFmtId="0" fontId="13" fillId="3" borderId="8" xfId="0" applyFont="1" applyFill="1" applyBorder="1" applyAlignment="1">
      <alignment horizontal="left"/>
    </xf>
    <xf numFmtId="0" fontId="13" fillId="3" borderId="9" xfId="0" applyFont="1" applyFill="1" applyBorder="1" applyAlignment="1">
      <alignment horizontal="left"/>
    </xf>
    <xf numFmtId="3" fontId="28" fillId="18" borderId="23" xfId="0" applyNumberFormat="1" applyFont="1" applyFill="1" applyBorder="1" applyAlignment="1">
      <alignment horizontal="center" vertical="center" wrapText="1"/>
    </xf>
    <xf numFmtId="11" fontId="17" fillId="5" borderId="19" xfId="0" applyNumberFormat="1" applyFont="1" applyFill="1" applyBorder="1" applyAlignment="1">
      <alignment horizontal="center" vertical="top" wrapText="1"/>
    </xf>
    <xf numFmtId="11" fontId="17" fillId="5" borderId="17" xfId="0" applyNumberFormat="1" applyFont="1" applyFill="1" applyBorder="1" applyAlignment="1">
      <alignment horizontal="center" vertical="top" wrapText="1"/>
    </xf>
    <xf numFmtId="0" fontId="0" fillId="0" borderId="0" xfId="0" applyAlignment="1">
      <alignment horizontal="left" vertical="center" wrapText="1"/>
    </xf>
    <xf numFmtId="0" fontId="0" fillId="21" borderId="0" xfId="0" applyFill="1" applyAlignment="1">
      <alignment horizontal="left" vertical="center" wrapText="1"/>
    </xf>
    <xf numFmtId="0" fontId="95" fillId="0" borderId="0" xfId="0" applyFont="1" applyAlignment="1">
      <alignment horizontal="left" vertical="center"/>
    </xf>
    <xf numFmtId="0" fontId="0" fillId="21" borderId="0" xfId="0" applyFill="1" applyAlignment="1">
      <alignment horizontal="left" vertical="center"/>
    </xf>
    <xf numFmtId="0" fontId="26" fillId="11" borderId="23" xfId="65" quotePrefix="1" applyFont="1" applyFill="1" applyBorder="1" applyAlignment="1">
      <alignment horizontal="left" vertical="center" wrapText="1"/>
    </xf>
    <xf numFmtId="0" fontId="96" fillId="0" borderId="135" xfId="65" applyFont="1" applyBorder="1" applyAlignment="1">
      <alignment horizontal="left" vertical="center" wrapText="1"/>
    </xf>
    <xf numFmtId="169" fontId="26" fillId="11" borderId="23" xfId="65" applyNumberFormat="1" applyFont="1" applyFill="1" applyBorder="1" applyAlignment="1">
      <alignment horizontal="left" vertical="center"/>
    </xf>
    <xf numFmtId="0" fontId="96" fillId="11" borderId="135" xfId="65" applyFont="1" applyFill="1" applyBorder="1" applyAlignment="1">
      <alignment horizontal="left" vertical="center" wrapText="1"/>
    </xf>
    <xf numFmtId="169" fontId="9" fillId="5" borderId="23" xfId="65" applyNumberFormat="1" applyFill="1" applyBorder="1" applyAlignment="1">
      <alignment horizontal="left" vertical="center"/>
    </xf>
    <xf numFmtId="4" fontId="26" fillId="11" borderId="23" xfId="65" applyNumberFormat="1" applyFont="1" applyFill="1" applyBorder="1" applyAlignment="1">
      <alignment horizontal="center" vertical="center" wrapText="1"/>
    </xf>
    <xf numFmtId="0" fontId="9" fillId="5" borderId="126" xfId="0" applyFont="1" applyFill="1" applyBorder="1" applyAlignment="1">
      <alignment vertical="center"/>
    </xf>
    <xf numFmtId="0" fontId="66" fillId="5" borderId="126" xfId="0" applyFont="1" applyFill="1" applyBorder="1" applyAlignment="1">
      <alignment vertical="center" wrapText="1"/>
    </xf>
    <xf numFmtId="0" fontId="37" fillId="5" borderId="126" xfId="0" applyFont="1" applyFill="1" applyBorder="1" applyAlignment="1">
      <alignment vertical="center" wrapText="1"/>
    </xf>
    <xf numFmtId="0" fontId="37" fillId="5" borderId="126" xfId="0" applyFont="1" applyFill="1" applyBorder="1" applyAlignment="1">
      <alignment horizontal="center" vertical="center" wrapText="1"/>
    </xf>
    <xf numFmtId="3" fontId="37" fillId="5" borderId="126" xfId="0" applyNumberFormat="1" applyFont="1" applyFill="1" applyBorder="1" applyAlignment="1">
      <alignment horizontal="center" vertical="center" wrapText="1"/>
    </xf>
    <xf numFmtId="3" fontId="17" fillId="5" borderId="126" xfId="0" applyNumberFormat="1" applyFont="1" applyFill="1" applyBorder="1" applyAlignment="1">
      <alignment horizontal="center" vertical="center" wrapText="1"/>
    </xf>
    <xf numFmtId="167" fontId="37" fillId="5" borderId="126" xfId="0" applyNumberFormat="1" applyFont="1" applyFill="1" applyBorder="1" applyAlignment="1">
      <alignment horizontal="center" vertical="center" wrapText="1"/>
    </xf>
    <xf numFmtId="0" fontId="66" fillId="5" borderId="126" xfId="0" applyFont="1" applyFill="1" applyBorder="1" applyAlignment="1">
      <alignment horizontal="left" vertical="center" wrapText="1"/>
    </xf>
    <xf numFmtId="14" fontId="0" fillId="0" borderId="0" xfId="0" applyNumberFormat="1"/>
    <xf numFmtId="169" fontId="9" fillId="0" borderId="0" xfId="111" applyNumberFormat="1" applyAlignment="1">
      <alignment vertical="center"/>
    </xf>
    <xf numFmtId="9" fontId="0" fillId="0" borderId="0" xfId="134" applyFont="1" applyBorder="1"/>
    <xf numFmtId="9" fontId="0" fillId="0" borderId="61" xfId="0" applyNumberFormat="1" applyBorder="1"/>
    <xf numFmtId="0" fontId="5" fillId="32" borderId="104" xfId="0" applyFont="1" applyFill="1" applyBorder="1"/>
    <xf numFmtId="0" fontId="5" fillId="25" borderId="97" xfId="0" applyFont="1" applyFill="1" applyBorder="1"/>
    <xf numFmtId="1" fontId="5" fillId="25" borderId="46" xfId="0" applyNumberFormat="1" applyFont="1" applyFill="1" applyBorder="1"/>
    <xf numFmtId="0" fontId="5" fillId="32" borderId="48" xfId="0" applyFont="1" applyFill="1" applyBorder="1"/>
    <xf numFmtId="0" fontId="5" fillId="25" borderId="48" xfId="0" applyFont="1" applyFill="1" applyBorder="1"/>
    <xf numFmtId="0" fontId="5" fillId="0" borderId="48" xfId="0" applyFont="1" applyBorder="1"/>
    <xf numFmtId="0" fontId="6" fillId="25" borderId="77" xfId="0" applyFont="1" applyFill="1" applyBorder="1" applyAlignment="1">
      <alignment horizontal="center" vertical="center" wrapText="1"/>
    </xf>
    <xf numFmtId="0" fontId="6" fillId="25" borderId="127" xfId="0" applyFont="1" applyFill="1" applyBorder="1" applyAlignment="1">
      <alignment horizontal="center" vertical="center" wrapText="1"/>
    </xf>
    <xf numFmtId="0" fontId="6" fillId="25" borderId="136" xfId="0" applyFont="1" applyFill="1" applyBorder="1" applyAlignment="1">
      <alignment horizontal="center" vertical="center" wrapText="1"/>
    </xf>
    <xf numFmtId="2" fontId="58" fillId="0" borderId="0" xfId="0" applyNumberFormat="1" applyFont="1"/>
    <xf numFmtId="0" fontId="0" fillId="5" borderId="137" xfId="0" applyFill="1" applyBorder="1"/>
    <xf numFmtId="0" fontId="59" fillId="5" borderId="44" xfId="0" applyFont="1" applyFill="1" applyBorder="1" applyAlignment="1">
      <alignment horizontal="left" vertical="center"/>
    </xf>
    <xf numFmtId="9" fontId="69" fillId="37" borderId="0" xfId="134" applyFont="1" applyFill="1" applyBorder="1"/>
    <xf numFmtId="2" fontId="0" fillId="21" borderId="0" xfId="0" applyNumberFormat="1" applyFill="1"/>
    <xf numFmtId="0" fontId="97" fillId="4" borderId="0" xfId="0" applyFont="1" applyFill="1" applyAlignment="1">
      <alignment horizontal="left" vertical="center"/>
    </xf>
    <xf numFmtId="0" fontId="0" fillId="4" borderId="0" xfId="0" applyFill="1"/>
    <xf numFmtId="0" fontId="0" fillId="8" borderId="0" xfId="0" applyFill="1"/>
    <xf numFmtId="0" fontId="0" fillId="29" borderId="0" xfId="0" applyFill="1" applyAlignment="1">
      <alignment horizontal="left" vertical="center" wrapText="1"/>
    </xf>
    <xf numFmtId="49" fontId="0" fillId="0" borderId="104" xfId="0" applyNumberFormat="1" applyBorder="1"/>
    <xf numFmtId="2" fontId="0" fillId="4" borderId="0" xfId="0" applyNumberFormat="1" applyFill="1"/>
    <xf numFmtId="2" fontId="0" fillId="8" borderId="0" xfId="0" applyNumberFormat="1" applyFill="1"/>
    <xf numFmtId="0" fontId="0" fillId="29" borderId="0" xfId="0" applyFill="1"/>
    <xf numFmtId="0" fontId="0" fillId="29" borderId="0" xfId="0" applyFill="1" applyAlignment="1">
      <alignment horizontal="left" vertical="center"/>
    </xf>
    <xf numFmtId="43" fontId="0" fillId="0" borderId="46" xfId="152" applyFont="1" applyFill="1" applyBorder="1"/>
    <xf numFmtId="0" fontId="0" fillId="37" borderId="48" xfId="0" applyFill="1" applyBorder="1"/>
    <xf numFmtId="0" fontId="58" fillId="25" borderId="141" xfId="0" applyFont="1" applyFill="1" applyBorder="1"/>
    <xf numFmtId="0" fontId="78" fillId="25" borderId="142" xfId="0" applyFont="1" applyFill="1" applyBorder="1" applyAlignment="1">
      <alignment horizontal="left"/>
    </xf>
    <xf numFmtId="0" fontId="0" fillId="0" borderId="142" xfId="0" applyBorder="1"/>
    <xf numFmtId="0" fontId="0" fillId="25" borderId="143" xfId="0" applyFill="1" applyBorder="1"/>
    <xf numFmtId="0" fontId="5" fillId="25" borderId="145" xfId="0" applyFont="1" applyFill="1" applyBorder="1"/>
    <xf numFmtId="0" fontId="0" fillId="5" borderId="144" xfId="0" applyFill="1" applyBorder="1"/>
    <xf numFmtId="0" fontId="5" fillId="0" borderId="144" xfId="0" applyFont="1" applyBorder="1"/>
    <xf numFmtId="0" fontId="5" fillId="25" borderId="144" xfId="0" applyFont="1" applyFill="1" applyBorder="1"/>
    <xf numFmtId="0" fontId="0" fillId="0" borderId="144" xfId="0" applyBorder="1"/>
    <xf numFmtId="165" fontId="0" fillId="0" borderId="144" xfId="0" applyNumberFormat="1" applyBorder="1"/>
    <xf numFmtId="0" fontId="5" fillId="21" borderId="144" xfId="0" applyFont="1" applyFill="1" applyBorder="1"/>
    <xf numFmtId="1" fontId="5" fillId="21" borderId="144" xfId="0" applyNumberFormat="1" applyFont="1" applyFill="1" applyBorder="1"/>
    <xf numFmtId="0" fontId="5" fillId="5" borderId="144" xfId="0" applyFont="1" applyFill="1" applyBorder="1"/>
    <xf numFmtId="165" fontId="5" fillId="5" borderId="144" xfId="0" applyNumberFormat="1" applyFont="1" applyFill="1" applyBorder="1"/>
    <xf numFmtId="165" fontId="0" fillId="5" borderId="144" xfId="0" applyNumberFormat="1" applyFill="1" applyBorder="1"/>
    <xf numFmtId="0" fontId="5" fillId="5" borderId="145" xfId="0" applyFont="1" applyFill="1" applyBorder="1"/>
    <xf numFmtId="0" fontId="5" fillId="21" borderId="145" xfId="0" applyFont="1" applyFill="1" applyBorder="1"/>
    <xf numFmtId="1" fontId="5" fillId="21" borderId="145" xfId="0" applyNumberFormat="1" applyFont="1" applyFill="1" applyBorder="1"/>
    <xf numFmtId="165" fontId="0" fillId="21" borderId="145" xfId="0" applyNumberFormat="1" applyFill="1" applyBorder="1"/>
    <xf numFmtId="165" fontId="0" fillId="5" borderId="0" xfId="0" applyNumberFormat="1" applyFill="1"/>
    <xf numFmtId="0" fontId="0" fillId="37" borderId="49" xfId="0" applyFill="1" applyBorder="1"/>
    <xf numFmtId="1" fontId="5" fillId="25" borderId="104" xfId="0" applyNumberFormat="1" applyFont="1" applyFill="1" applyBorder="1"/>
    <xf numFmtId="0" fontId="5" fillId="25" borderId="142" xfId="0" applyFont="1" applyFill="1" applyBorder="1"/>
    <xf numFmtId="1" fontId="5" fillId="25" borderId="142" xfId="0" applyNumberFormat="1" applyFont="1" applyFill="1" applyBorder="1"/>
    <xf numFmtId="0" fontId="5" fillId="0" borderId="142" xfId="0" applyFont="1" applyBorder="1"/>
    <xf numFmtId="0" fontId="5" fillId="25" borderId="146" xfId="0" applyFont="1" applyFill="1" applyBorder="1"/>
    <xf numFmtId="0" fontId="5" fillId="25" borderId="147" xfId="0" applyFont="1" applyFill="1" applyBorder="1"/>
    <xf numFmtId="0" fontId="5" fillId="25" borderId="110" xfId="0" applyFont="1" applyFill="1" applyBorder="1"/>
    <xf numFmtId="1" fontId="5" fillId="25" borderId="149" xfId="0" applyNumberFormat="1" applyFont="1" applyFill="1" applyBorder="1"/>
    <xf numFmtId="1" fontId="5" fillId="25" borderId="111" xfId="0" applyNumberFormat="1" applyFont="1" applyFill="1" applyBorder="1"/>
    <xf numFmtId="0" fontId="5" fillId="24" borderId="147" xfId="0" applyFont="1" applyFill="1" applyBorder="1"/>
    <xf numFmtId="0" fontId="52" fillId="25" borderId="147" xfId="0" applyFont="1" applyFill="1" applyBorder="1"/>
    <xf numFmtId="0" fontId="5" fillId="30" borderId="147" xfId="0" applyFont="1" applyFill="1" applyBorder="1"/>
    <xf numFmtId="0" fontId="52" fillId="30" borderId="147" xfId="0" applyFont="1" applyFill="1" applyBorder="1"/>
    <xf numFmtId="0" fontId="5" fillId="34" borderId="147" xfId="0" applyFont="1" applyFill="1" applyBorder="1"/>
    <xf numFmtId="0" fontId="6" fillId="25" borderId="43" xfId="0" applyFont="1" applyFill="1" applyBorder="1" applyAlignment="1">
      <alignment wrapText="1"/>
    </xf>
    <xf numFmtId="0" fontId="5" fillId="24" borderId="99" xfId="0" applyFont="1" applyFill="1" applyBorder="1" applyAlignment="1">
      <alignment wrapText="1"/>
    </xf>
    <xf numFmtId="0" fontId="5" fillId="24" borderId="142" xfId="0" applyFont="1" applyFill="1" applyBorder="1"/>
    <xf numFmtId="1" fontId="5" fillId="25" borderId="148" xfId="0" applyNumberFormat="1" applyFont="1" applyFill="1" applyBorder="1"/>
    <xf numFmtId="1" fontId="52" fillId="25" borderId="142" xfId="0" applyNumberFormat="1" applyFont="1" applyFill="1" applyBorder="1"/>
    <xf numFmtId="0" fontId="5" fillId="30" borderId="142" xfId="0" applyFont="1" applyFill="1" applyBorder="1"/>
    <xf numFmtId="0" fontId="0" fillId="25" borderId="149" xfId="0" applyFill="1" applyBorder="1"/>
    <xf numFmtId="1" fontId="5" fillId="34" borderId="142" xfId="0" applyNumberFormat="1" applyFont="1" applyFill="1" applyBorder="1"/>
    <xf numFmtId="1" fontId="0" fillId="25" borderId="149" xfId="0" applyNumberFormat="1" applyFill="1" applyBorder="1"/>
    <xf numFmtId="1" fontId="5" fillId="25" borderId="150" xfId="0" applyNumberFormat="1" applyFont="1" applyFill="1" applyBorder="1"/>
    <xf numFmtId="1" fontId="5" fillId="25" borderId="151" xfId="0" applyNumberFormat="1" applyFont="1" applyFill="1" applyBorder="1"/>
    <xf numFmtId="1" fontId="5" fillId="34" borderId="150" xfId="0" applyNumberFormat="1" applyFont="1" applyFill="1" applyBorder="1"/>
    <xf numFmtId="0" fontId="5" fillId="24" borderId="150" xfId="0" applyFont="1" applyFill="1" applyBorder="1"/>
    <xf numFmtId="0" fontId="5" fillId="30" borderId="150" xfId="0" applyFont="1" applyFill="1" applyBorder="1"/>
    <xf numFmtId="0" fontId="5" fillId="34" borderId="150" xfId="0" applyFont="1" applyFill="1" applyBorder="1"/>
    <xf numFmtId="0" fontId="0" fillId="25" borderId="150" xfId="0" applyFill="1" applyBorder="1"/>
    <xf numFmtId="0" fontId="58" fillId="25" borderId="142" xfId="0" applyFont="1" applyFill="1" applyBorder="1"/>
    <xf numFmtId="0" fontId="0" fillId="38" borderId="142" xfId="0" applyFill="1" applyBorder="1"/>
    <xf numFmtId="0" fontId="58" fillId="25" borderId="138" xfId="0" applyFont="1" applyFill="1" applyBorder="1"/>
    <xf numFmtId="0" fontId="0" fillId="25" borderId="139" xfId="0" applyFill="1" applyBorder="1"/>
    <xf numFmtId="0" fontId="0" fillId="25" borderId="139" xfId="0" quotePrefix="1" applyFill="1" applyBorder="1"/>
    <xf numFmtId="0" fontId="78" fillId="25" borderId="48" xfId="0" applyFont="1" applyFill="1" applyBorder="1" applyAlignment="1">
      <alignment horizontal="left"/>
    </xf>
    <xf numFmtId="0" fontId="0" fillId="21" borderId="144" xfId="0" applyFill="1" applyBorder="1"/>
    <xf numFmtId="165" fontId="0" fillId="21" borderId="144" xfId="0" applyNumberFormat="1" applyFill="1" applyBorder="1"/>
    <xf numFmtId="165" fontId="5" fillId="21" borderId="144" xfId="0" applyNumberFormat="1" applyFont="1" applyFill="1" applyBorder="1"/>
    <xf numFmtId="0" fontId="5" fillId="24" borderId="43" xfId="0" applyFont="1" applyFill="1" applyBorder="1"/>
    <xf numFmtId="1" fontId="5" fillId="24" borderId="43" xfId="0" applyNumberFormat="1" applyFont="1" applyFill="1" applyBorder="1"/>
    <xf numFmtId="0" fontId="0" fillId="24" borderId="43" xfId="0" applyFill="1" applyBorder="1"/>
    <xf numFmtId="165" fontId="0" fillId="5" borderId="153" xfId="0" applyNumberFormat="1" applyFill="1" applyBorder="1"/>
    <xf numFmtId="0" fontId="5" fillId="0" borderId="60" xfId="0" applyFont="1" applyBorder="1"/>
    <xf numFmtId="0" fontId="0" fillId="0" borderId="60" xfId="0" applyBorder="1"/>
    <xf numFmtId="0" fontId="53" fillId="5" borderId="0" xfId="0" applyFont="1" applyFill="1" applyAlignment="1">
      <alignment horizontal="center"/>
    </xf>
    <xf numFmtId="0" fontId="98" fillId="5" borderId="143" xfId="0" applyFont="1" applyFill="1" applyBorder="1" applyAlignment="1">
      <alignment horizontal="left" vertical="center"/>
    </xf>
    <xf numFmtId="0" fontId="5" fillId="34" borderId="142" xfId="0" applyFont="1" applyFill="1" applyBorder="1"/>
    <xf numFmtId="0" fontId="5" fillId="25" borderId="140" xfId="0" applyFont="1" applyFill="1" applyBorder="1"/>
    <xf numFmtId="0" fontId="0" fillId="25" borderId="147" xfId="0" applyFill="1" applyBorder="1"/>
    <xf numFmtId="0" fontId="5" fillId="25" borderId="127" xfId="0" applyFont="1" applyFill="1" applyBorder="1"/>
    <xf numFmtId="0" fontId="5" fillId="25" borderId="136" xfId="0" applyFont="1" applyFill="1" applyBorder="1"/>
    <xf numFmtId="0" fontId="5" fillId="25" borderId="150" xfId="0" applyFont="1" applyFill="1" applyBorder="1"/>
    <xf numFmtId="0" fontId="5" fillId="25" borderId="51" xfId="0" applyFont="1" applyFill="1" applyBorder="1"/>
    <xf numFmtId="0" fontId="5" fillId="25" borderId="52" xfId="0" applyFont="1" applyFill="1" applyBorder="1"/>
    <xf numFmtId="0" fontId="5" fillId="25" borderId="0" xfId="0" applyFont="1" applyFill="1" applyAlignment="1">
      <alignment horizontal="left" vertical="center"/>
    </xf>
    <xf numFmtId="0" fontId="0" fillId="25" borderId="81" xfId="0" applyFill="1" applyBorder="1"/>
    <xf numFmtId="0" fontId="0" fillId="25" borderId="82" xfId="0" applyFill="1" applyBorder="1"/>
    <xf numFmtId="1" fontId="0" fillId="25" borderId="82" xfId="0" applyNumberFormat="1" applyFill="1" applyBorder="1"/>
    <xf numFmtId="0" fontId="0" fillId="32" borderId="83" xfId="0" applyFill="1" applyBorder="1"/>
    <xf numFmtId="0" fontId="59" fillId="25" borderId="42" xfId="0" applyFont="1" applyFill="1" applyBorder="1" applyAlignment="1">
      <alignment horizontal="left" vertical="center"/>
    </xf>
    <xf numFmtId="0" fontId="59" fillId="25" borderId="67" xfId="0" applyFont="1" applyFill="1" applyBorder="1" applyAlignment="1">
      <alignment horizontal="left" vertical="center"/>
    </xf>
    <xf numFmtId="0" fontId="0" fillId="32" borderId="43" xfId="0" applyFill="1" applyBorder="1" applyAlignment="1">
      <alignment horizontal="left" vertical="center"/>
    </xf>
    <xf numFmtId="0" fontId="0" fillId="32" borderId="41" xfId="0" applyFill="1" applyBorder="1" applyAlignment="1">
      <alignment horizontal="left" vertical="center"/>
    </xf>
    <xf numFmtId="0" fontId="6" fillId="5" borderId="25" xfId="0" applyFont="1" applyFill="1" applyBorder="1" applyAlignment="1">
      <alignment horizontal="center" vertical="center" wrapText="1"/>
    </xf>
    <xf numFmtId="0" fontId="0" fillId="21" borderId="147" xfId="0" applyFill="1" applyBorder="1"/>
    <xf numFmtId="0" fontId="0" fillId="0" borderId="0" xfId="0" applyAlignment="1">
      <alignment wrapText="1"/>
    </xf>
    <xf numFmtId="0" fontId="0" fillId="5" borderId="152" xfId="0" applyFill="1" applyBorder="1" applyAlignment="1">
      <alignment wrapText="1"/>
    </xf>
    <xf numFmtId="165" fontId="0" fillId="24" borderId="113" xfId="0" applyNumberFormat="1" applyFill="1" applyBorder="1"/>
    <xf numFmtId="165" fontId="0" fillId="24" borderId="131" xfId="0" applyNumberFormat="1" applyFill="1" applyBorder="1"/>
    <xf numFmtId="165" fontId="0" fillId="25" borderId="155" xfId="0" applyNumberFormat="1" applyFill="1" applyBorder="1"/>
    <xf numFmtId="165" fontId="0" fillId="25" borderId="144" xfId="0" applyNumberFormat="1" applyFill="1" applyBorder="1"/>
    <xf numFmtId="165" fontId="0" fillId="25" borderId="153" xfId="0" applyNumberFormat="1" applyFill="1" applyBorder="1"/>
    <xf numFmtId="165" fontId="0" fillId="5" borderId="138" xfId="0" applyNumberFormat="1" applyFill="1" applyBorder="1"/>
    <xf numFmtId="165" fontId="0" fillId="5" borderId="146" xfId="0" applyNumberFormat="1" applyFill="1" applyBorder="1"/>
    <xf numFmtId="165" fontId="0" fillId="5" borderId="145" xfId="0" applyNumberFormat="1" applyFill="1" applyBorder="1"/>
    <xf numFmtId="165" fontId="0" fillId="0" borderId="141" xfId="0" applyNumberFormat="1" applyBorder="1"/>
    <xf numFmtId="165" fontId="0" fillId="0" borderId="147" xfId="0" applyNumberFormat="1" applyBorder="1"/>
    <xf numFmtId="165" fontId="0" fillId="0" borderId="142" xfId="0" applyNumberFormat="1" applyBorder="1"/>
    <xf numFmtId="165" fontId="0" fillId="0" borderId="149" xfId="0" applyNumberFormat="1" applyBorder="1"/>
    <xf numFmtId="165" fontId="0" fillId="5" borderId="45" xfId="0" applyNumberFormat="1" applyFill="1" applyBorder="1"/>
    <xf numFmtId="165" fontId="0" fillId="5" borderId="156" xfId="0" applyNumberFormat="1" applyFill="1" applyBorder="1"/>
    <xf numFmtId="165" fontId="0" fillId="5" borderId="47" xfId="0" applyNumberFormat="1" applyFill="1" applyBorder="1"/>
    <xf numFmtId="165" fontId="0" fillId="5" borderId="157" xfId="0" applyNumberFormat="1" applyFill="1" applyBorder="1"/>
    <xf numFmtId="165" fontId="5" fillId="5" borderId="155" xfId="0" applyNumberFormat="1" applyFont="1" applyFill="1" applyBorder="1"/>
    <xf numFmtId="165" fontId="0" fillId="24" borderId="155" xfId="0" applyNumberFormat="1" applyFill="1" applyBorder="1"/>
    <xf numFmtId="165" fontId="0" fillId="24" borderId="144" xfId="0" applyNumberFormat="1" applyFill="1" applyBorder="1"/>
    <xf numFmtId="165" fontId="0" fillId="24" borderId="153" xfId="0" applyNumberFormat="1" applyFill="1" applyBorder="1"/>
    <xf numFmtId="165" fontId="0" fillId="5" borderId="154" xfId="0" applyNumberFormat="1" applyFill="1" applyBorder="1"/>
    <xf numFmtId="165" fontId="5" fillId="21" borderId="155" xfId="0" applyNumberFormat="1" applyFont="1" applyFill="1" applyBorder="1"/>
    <xf numFmtId="165" fontId="0" fillId="21" borderId="0" xfId="0" applyNumberFormat="1" applyFill="1"/>
    <xf numFmtId="165" fontId="0" fillId="21" borderId="153" xfId="0" applyNumberFormat="1" applyFill="1" applyBorder="1"/>
    <xf numFmtId="165" fontId="0" fillId="21" borderId="155" xfId="0" applyNumberFormat="1" applyFill="1" applyBorder="1"/>
    <xf numFmtId="165" fontId="0" fillId="35" borderId="155" xfId="0" applyNumberFormat="1" applyFill="1" applyBorder="1"/>
    <xf numFmtId="165" fontId="0" fillId="35" borderId="144" xfId="0" applyNumberFormat="1" applyFill="1" applyBorder="1"/>
    <xf numFmtId="165" fontId="0" fillId="35" borderId="153" xfId="0" applyNumberFormat="1" applyFill="1" applyBorder="1"/>
    <xf numFmtId="165" fontId="0" fillId="21" borderId="152" xfId="0" applyNumberFormat="1" applyFill="1" applyBorder="1"/>
    <xf numFmtId="165" fontId="0" fillId="21" borderId="156" xfId="0" applyNumberFormat="1" applyFill="1" applyBorder="1"/>
    <xf numFmtId="0" fontId="5" fillId="5" borderId="45" xfId="0" applyFont="1" applyFill="1" applyBorder="1"/>
    <xf numFmtId="0" fontId="58" fillId="5" borderId="146" xfId="0" applyFont="1" applyFill="1" applyBorder="1" applyAlignment="1">
      <alignment wrapText="1"/>
    </xf>
    <xf numFmtId="0" fontId="0" fillId="24" borderId="95" xfId="0" applyFill="1" applyBorder="1"/>
    <xf numFmtId="0" fontId="0" fillId="0" borderId="147" xfId="0" applyBorder="1"/>
    <xf numFmtId="1" fontId="0" fillId="35" borderId="147" xfId="0" applyNumberFormat="1" applyFill="1" applyBorder="1"/>
    <xf numFmtId="1" fontId="5" fillId="5" borderId="147" xfId="0" applyNumberFormat="1" applyFont="1" applyFill="1" applyBorder="1"/>
    <xf numFmtId="0" fontId="5" fillId="5" borderId="147" xfId="0" applyFont="1" applyFill="1" applyBorder="1"/>
    <xf numFmtId="0" fontId="0" fillId="24" borderId="147" xfId="0" applyFill="1" applyBorder="1"/>
    <xf numFmtId="0" fontId="5" fillId="5" borderId="96" xfId="0" applyFont="1" applyFill="1" applyBorder="1"/>
    <xf numFmtId="0" fontId="5" fillId="35" borderId="147" xfId="0" applyFont="1" applyFill="1" applyBorder="1"/>
    <xf numFmtId="0" fontId="5" fillId="21" borderId="147" xfId="0" applyFont="1" applyFill="1" applyBorder="1"/>
    <xf numFmtId="0" fontId="0" fillId="35" borderId="147" xfId="0" applyFill="1" applyBorder="1"/>
    <xf numFmtId="0" fontId="5" fillId="21" borderId="146" xfId="0" applyFont="1" applyFill="1" applyBorder="1"/>
    <xf numFmtId="0" fontId="0" fillId="5" borderId="156" xfId="0" applyFill="1" applyBorder="1" applyAlignment="1">
      <alignment wrapText="1"/>
    </xf>
    <xf numFmtId="165" fontId="0" fillId="5" borderId="46" xfId="0" applyNumberFormat="1" applyFill="1" applyBorder="1"/>
    <xf numFmtId="165" fontId="0" fillId="5" borderId="49" xfId="0" applyNumberFormat="1" applyFill="1" applyBorder="1"/>
    <xf numFmtId="165" fontId="0" fillId="21" borderId="46" xfId="0" applyNumberFormat="1" applyFill="1" applyBorder="1"/>
    <xf numFmtId="0" fontId="85" fillId="5" borderId="25" xfId="0" applyFont="1" applyFill="1" applyBorder="1" applyAlignment="1">
      <alignment horizontal="center" vertical="center" wrapText="1"/>
    </xf>
    <xf numFmtId="0" fontId="6" fillId="5" borderId="25" xfId="0" applyFont="1" applyFill="1" applyBorder="1" applyAlignment="1">
      <alignment wrapText="1"/>
    </xf>
    <xf numFmtId="0" fontId="6" fillId="5" borderId="40" xfId="0" applyFont="1" applyFill="1" applyBorder="1" applyAlignment="1">
      <alignment wrapText="1"/>
    </xf>
    <xf numFmtId="0" fontId="58" fillId="5" borderId="25" xfId="0" applyFont="1" applyFill="1" applyBorder="1" applyAlignment="1">
      <alignment wrapText="1"/>
    </xf>
    <xf numFmtId="0" fontId="58" fillId="5" borderId="40" xfId="0" applyFont="1" applyFill="1" applyBorder="1" applyAlignment="1">
      <alignment wrapText="1"/>
    </xf>
    <xf numFmtId="0" fontId="0" fillId="5" borderId="158" xfId="0" applyFill="1" applyBorder="1" applyAlignment="1">
      <alignment wrapText="1"/>
    </xf>
    <xf numFmtId="0" fontId="0" fillId="5" borderId="159" xfId="0" applyFill="1" applyBorder="1" applyAlignment="1">
      <alignment wrapText="1"/>
    </xf>
    <xf numFmtId="0" fontId="57" fillId="5" borderId="41" xfId="0" applyFont="1" applyFill="1" applyBorder="1"/>
    <xf numFmtId="0" fontId="82" fillId="5" borderId="41" xfId="0" applyFont="1" applyFill="1" applyBorder="1" applyAlignment="1">
      <alignment horizontal="center" vertical="center"/>
    </xf>
    <xf numFmtId="0" fontId="0" fillId="5" borderId="41" xfId="0" applyFill="1" applyBorder="1" applyAlignment="1">
      <alignment horizontal="center" vertical="center"/>
    </xf>
    <xf numFmtId="3" fontId="0" fillId="5" borderId="41" xfId="0" applyNumberFormat="1" applyFill="1" applyBorder="1"/>
    <xf numFmtId="1" fontId="0" fillId="5" borderId="41" xfId="0" applyNumberFormat="1" applyFill="1" applyBorder="1"/>
    <xf numFmtId="0" fontId="0" fillId="25" borderId="42" xfId="0" applyFill="1" applyBorder="1"/>
    <xf numFmtId="0" fontId="0" fillId="25" borderId="43" xfId="0" applyFill="1" applyBorder="1"/>
    <xf numFmtId="0" fontId="58" fillId="5" borderId="138" xfId="0" applyFont="1" applyFill="1" applyBorder="1"/>
    <xf numFmtId="0" fontId="0" fillId="5" borderId="139" xfId="0" applyFill="1" applyBorder="1"/>
    <xf numFmtId="0" fontId="0" fillId="0" borderId="0" xfId="0" applyAlignment="1">
      <alignment horizontal="center" textRotation="90" wrapText="1"/>
    </xf>
    <xf numFmtId="0" fontId="0" fillId="0" borderId="43" xfId="0" applyBorder="1" applyAlignment="1">
      <alignment horizontal="center" textRotation="90" wrapText="1"/>
    </xf>
    <xf numFmtId="1" fontId="5" fillId="25" borderId="140" xfId="0" applyNumberFormat="1" applyFont="1" applyFill="1" applyBorder="1"/>
    <xf numFmtId="1" fontId="52" fillId="25" borderId="150" xfId="0" applyNumberFormat="1" applyFont="1" applyFill="1" applyBorder="1"/>
    <xf numFmtId="1" fontId="5" fillId="25" borderId="51" xfId="0" applyNumberFormat="1" applyFont="1" applyFill="1" applyBorder="1"/>
    <xf numFmtId="1" fontId="5" fillId="25" borderId="52" xfId="0" applyNumberFormat="1" applyFont="1" applyFill="1" applyBorder="1"/>
    <xf numFmtId="1" fontId="0" fillId="25" borderId="150" xfId="0" applyNumberFormat="1" applyFill="1" applyBorder="1"/>
    <xf numFmtId="1" fontId="5" fillId="25" borderId="51" xfId="0" applyNumberFormat="1" applyFont="1" applyFill="1" applyBorder="1" applyAlignment="1">
      <alignment horizontal="right"/>
    </xf>
    <xf numFmtId="1" fontId="5" fillId="25" borderId="107" xfId="0" applyNumberFormat="1" applyFont="1" applyFill="1" applyBorder="1" applyAlignment="1">
      <alignment horizontal="right"/>
    </xf>
    <xf numFmtId="0" fontId="99" fillId="5" borderId="0" xfId="0" applyFont="1" applyFill="1"/>
    <xf numFmtId="0" fontId="100" fillId="5" borderId="0" xfId="0" applyFont="1" applyFill="1"/>
    <xf numFmtId="0" fontId="100" fillId="25" borderId="41" xfId="0" applyFont="1" applyFill="1" applyBorder="1"/>
    <xf numFmtId="0" fontId="100" fillId="25" borderId="0" xfId="0" applyFont="1" applyFill="1"/>
    <xf numFmtId="0" fontId="5" fillId="25" borderId="151" xfId="0" applyFont="1" applyFill="1" applyBorder="1"/>
    <xf numFmtId="0" fontId="5" fillId="0" borderId="146" xfId="0" applyFont="1" applyBorder="1"/>
    <xf numFmtId="205" fontId="9" fillId="5" borderId="23" xfId="65" applyNumberFormat="1" applyFill="1" applyBorder="1" applyAlignment="1">
      <alignment horizontal="center" vertical="center" wrapText="1"/>
    </xf>
    <xf numFmtId="2" fontId="6" fillId="0" borderId="0" xfId="0" applyNumberFormat="1" applyFont="1" applyAlignment="1">
      <alignment wrapText="1"/>
    </xf>
    <xf numFmtId="4" fontId="6" fillId="0" borderId="0" xfId="0" applyNumberFormat="1" applyFont="1"/>
    <xf numFmtId="165" fontId="5" fillId="0" borderId="61" xfId="0" applyNumberFormat="1" applyFont="1" applyBorder="1"/>
    <xf numFmtId="1" fontId="5" fillId="23" borderId="144" xfId="0" applyNumberFormat="1" applyFont="1" applyFill="1" applyBorder="1" applyAlignment="1">
      <alignment horizontal="right"/>
    </xf>
    <xf numFmtId="49" fontId="5" fillId="0" borderId="144" xfId="0" applyNumberFormat="1" applyFont="1" applyBorder="1" applyAlignment="1">
      <alignment horizontal="right"/>
    </xf>
    <xf numFmtId="9" fontId="0" fillId="0" borderId="144" xfId="0" applyNumberFormat="1" applyBorder="1"/>
    <xf numFmtId="0" fontId="0" fillId="0" borderId="149" xfId="0" applyBorder="1"/>
    <xf numFmtId="0" fontId="0" fillId="0" borderId="145" xfId="0" applyBorder="1"/>
    <xf numFmtId="1" fontId="5" fillId="5" borderId="0" xfId="0" applyNumberFormat="1" applyFont="1" applyFill="1" applyAlignment="1">
      <alignment wrapText="1"/>
    </xf>
    <xf numFmtId="4" fontId="5" fillId="0" borderId="144" xfId="0" applyNumberFormat="1" applyFont="1" applyBorder="1" applyAlignment="1">
      <alignment horizontal="right"/>
    </xf>
    <xf numFmtId="4" fontId="5" fillId="0" borderId="147" xfId="0" applyNumberFormat="1" applyFont="1" applyBorder="1" applyAlignment="1">
      <alignment horizontal="right"/>
    </xf>
    <xf numFmtId="4" fontId="0" fillId="0" borderId="0" xfId="0" applyNumberFormat="1"/>
    <xf numFmtId="0" fontId="9" fillId="5" borderId="23" xfId="65" quotePrefix="1" applyFill="1" applyBorder="1" applyAlignment="1">
      <alignment horizontal="left" vertical="center" wrapText="1"/>
    </xf>
    <xf numFmtId="0" fontId="5" fillId="0" borderId="145" xfId="0" applyFont="1" applyBorder="1"/>
    <xf numFmtId="0" fontId="5" fillId="0" borderId="110" xfId="0" applyFont="1" applyBorder="1"/>
    <xf numFmtId="4" fontId="5" fillId="5" borderId="88" xfId="0" applyNumberFormat="1" applyFont="1" applyFill="1" applyBorder="1"/>
    <xf numFmtId="0" fontId="0" fillId="0" borderId="88" xfId="0" applyBorder="1"/>
    <xf numFmtId="2" fontId="6" fillId="21" borderId="88" xfId="0" applyNumberFormat="1" applyFont="1" applyFill="1" applyBorder="1" applyAlignment="1">
      <alignment wrapText="1"/>
    </xf>
    <xf numFmtId="4" fontId="6" fillId="21" borderId="88" xfId="0" applyNumberFormat="1" applyFont="1" applyFill="1" applyBorder="1"/>
    <xf numFmtId="165" fontId="0" fillId="21" borderId="141" xfId="0" applyNumberFormat="1" applyFill="1" applyBorder="1"/>
    <xf numFmtId="165" fontId="5" fillId="5" borderId="141" xfId="0" applyNumberFormat="1" applyFont="1" applyFill="1" applyBorder="1"/>
    <xf numFmtId="165" fontId="5" fillId="0" borderId="144" xfId="0" applyNumberFormat="1" applyFont="1" applyBorder="1"/>
    <xf numFmtId="166" fontId="5" fillId="0" borderId="144" xfId="0" applyNumberFormat="1" applyFont="1" applyBorder="1"/>
    <xf numFmtId="43" fontId="0" fillId="0" borderId="0" xfId="152" applyFont="1"/>
    <xf numFmtId="0" fontId="0" fillId="0" borderId="144" xfId="0" quotePrefix="1" applyBorder="1"/>
    <xf numFmtId="0" fontId="5" fillId="5" borderId="149" xfId="0" applyFont="1" applyFill="1" applyBorder="1"/>
    <xf numFmtId="4" fontId="5" fillId="5" borderId="144" xfId="0" applyNumberFormat="1" applyFont="1" applyFill="1" applyBorder="1" applyAlignment="1">
      <alignment horizontal="right"/>
    </xf>
    <xf numFmtId="2" fontId="5" fillId="5" borderId="144" xfId="0" applyNumberFormat="1" applyFont="1" applyFill="1" applyBorder="1"/>
    <xf numFmtId="0" fontId="5" fillId="0" borderId="149" xfId="0" applyFont="1" applyBorder="1"/>
    <xf numFmtId="0" fontId="0" fillId="5" borderId="85" xfId="0" applyFill="1" applyBorder="1"/>
    <xf numFmtId="0" fontId="0" fillId="0" borderId="25" xfId="0" applyBorder="1"/>
    <xf numFmtId="165" fontId="0" fillId="5" borderId="25" xfId="0" applyNumberFormat="1" applyFill="1" applyBorder="1"/>
    <xf numFmtId="165" fontId="5" fillId="5" borderId="67" xfId="0" applyNumberFormat="1" applyFont="1" applyFill="1" applyBorder="1"/>
    <xf numFmtId="165" fontId="0" fillId="21" borderId="143" xfId="0" applyNumberFormat="1" applyFill="1" applyBorder="1"/>
    <xf numFmtId="165" fontId="5" fillId="5" borderId="150" xfId="0" applyNumberFormat="1" applyFont="1" applyFill="1" applyBorder="1"/>
    <xf numFmtId="165" fontId="0" fillId="21" borderId="100" xfId="0" applyNumberFormat="1" applyFill="1" applyBorder="1"/>
    <xf numFmtId="165" fontId="0" fillId="21" borderId="60" xfId="0" applyNumberFormat="1" applyFill="1" applyBorder="1"/>
    <xf numFmtId="165" fontId="0" fillId="21" borderId="161" xfId="0" applyNumberFormat="1" applyFill="1" applyBorder="1"/>
    <xf numFmtId="165" fontId="5" fillId="5" borderId="100" xfId="0" applyNumberFormat="1" applyFont="1" applyFill="1" applyBorder="1"/>
    <xf numFmtId="2" fontId="5" fillId="25" borderId="45" xfId="0" applyNumberFormat="1" applyFont="1" applyFill="1" applyBorder="1"/>
    <xf numFmtId="0" fontId="5" fillId="24" borderId="85" xfId="0" applyFont="1" applyFill="1" applyBorder="1"/>
    <xf numFmtId="2" fontId="5" fillId="25" borderId="47" xfId="0" applyNumberFormat="1" applyFont="1" applyFill="1" applyBorder="1"/>
    <xf numFmtId="9" fontId="5" fillId="25" borderId="150" xfId="134" applyFont="1" applyFill="1" applyBorder="1"/>
    <xf numFmtId="9" fontId="5" fillId="0" borderId="150" xfId="134" applyFont="1" applyBorder="1"/>
    <xf numFmtId="9" fontId="5" fillId="25" borderId="54" xfId="134" applyFont="1" applyFill="1" applyBorder="1"/>
    <xf numFmtId="9" fontId="5" fillId="24" borderId="97" xfId="134" applyFont="1" applyFill="1" applyBorder="1"/>
    <xf numFmtId="9" fontId="5" fillId="24" borderId="150" xfId="134" applyFont="1" applyFill="1" applyBorder="1"/>
    <xf numFmtId="9" fontId="5" fillId="0" borderId="151" xfId="134" applyFont="1" applyBorder="1"/>
    <xf numFmtId="9" fontId="5" fillId="24" borderId="53" xfId="134" applyFont="1" applyFill="1" applyBorder="1"/>
    <xf numFmtId="9" fontId="5" fillId="0" borderId="51" xfId="134" applyFont="1" applyBorder="1"/>
    <xf numFmtId="9" fontId="5" fillId="30" borderId="150" xfId="134" applyFont="1" applyFill="1" applyBorder="1"/>
    <xf numFmtId="9" fontId="5" fillId="34" borderId="150" xfId="134" applyFont="1" applyFill="1" applyBorder="1"/>
    <xf numFmtId="9" fontId="5" fillId="0" borderId="54" xfId="134" applyFont="1" applyBorder="1"/>
    <xf numFmtId="9" fontId="5" fillId="0" borderId="52" xfId="134" applyFont="1" applyBorder="1"/>
    <xf numFmtId="9" fontId="0" fillId="5" borderId="41" xfId="134" applyFont="1" applyFill="1" applyBorder="1"/>
    <xf numFmtId="9" fontId="58" fillId="5" borderId="41" xfId="134" applyFont="1" applyFill="1" applyBorder="1" applyAlignment="1">
      <alignment wrapText="1"/>
    </xf>
    <xf numFmtId="9" fontId="58" fillId="5" borderId="104" xfId="134" applyFont="1" applyFill="1" applyBorder="1" applyAlignment="1">
      <alignment wrapText="1"/>
    </xf>
    <xf numFmtId="9" fontId="0" fillId="24" borderId="99" xfId="134" applyFont="1" applyFill="1" applyBorder="1"/>
    <xf numFmtId="9" fontId="0" fillId="25" borderId="142" xfId="134" applyFont="1" applyFill="1" applyBorder="1"/>
    <xf numFmtId="9" fontId="0" fillId="0" borderId="142" xfId="134" applyFont="1" applyBorder="1"/>
    <xf numFmtId="9" fontId="0" fillId="35" borderId="142" xfId="134" applyFont="1" applyFill="1" applyBorder="1"/>
    <xf numFmtId="9" fontId="0" fillId="0" borderId="48" xfId="134" applyFont="1" applyBorder="1"/>
    <xf numFmtId="9" fontId="5" fillId="5" borderId="142" xfId="134" applyFont="1" applyFill="1" applyBorder="1"/>
    <xf numFmtId="9" fontId="0" fillId="24" borderId="142" xfId="134" applyFont="1" applyFill="1" applyBorder="1"/>
    <xf numFmtId="9" fontId="5" fillId="35" borderId="142" xfId="134" applyFont="1" applyFill="1" applyBorder="1"/>
    <xf numFmtId="9" fontId="5" fillId="21" borderId="142" xfId="134" applyFont="1" applyFill="1" applyBorder="1"/>
    <xf numFmtId="9" fontId="0" fillId="21" borderId="142" xfId="134" applyFont="1" applyFill="1" applyBorder="1"/>
    <xf numFmtId="9" fontId="5" fillId="21" borderId="104" xfId="134" applyFont="1" applyFill="1" applyBorder="1"/>
    <xf numFmtId="9" fontId="5" fillId="5" borderId="0" xfId="134" applyFont="1" applyFill="1"/>
    <xf numFmtId="9" fontId="0" fillId="5" borderId="0" xfId="134" applyFont="1" applyFill="1"/>
    <xf numFmtId="1" fontId="0" fillId="21" borderId="144" xfId="0" applyNumberFormat="1" applyFill="1" applyBorder="1" applyAlignment="1">
      <alignment horizontal="right"/>
    </xf>
    <xf numFmtId="165" fontId="5" fillId="5" borderId="97" xfId="0" applyNumberFormat="1" applyFont="1" applyFill="1" applyBorder="1"/>
    <xf numFmtId="165" fontId="5" fillId="5" borderId="54" xfId="0" applyNumberFormat="1" applyFont="1" applyFill="1" applyBorder="1"/>
    <xf numFmtId="165" fontId="0" fillId="24" borderId="95" xfId="0" applyNumberFormat="1" applyFill="1" applyBorder="1"/>
    <xf numFmtId="165" fontId="0" fillId="21" borderId="147" xfId="0" applyNumberFormat="1" applyFill="1" applyBorder="1"/>
    <xf numFmtId="165" fontId="69" fillId="5" borderId="147" xfId="0" applyNumberFormat="1" applyFont="1" applyFill="1" applyBorder="1"/>
    <xf numFmtId="165" fontId="69" fillId="5" borderId="40" xfId="0" applyNumberFormat="1" applyFont="1" applyFill="1" applyBorder="1"/>
    <xf numFmtId="165" fontId="69" fillId="5" borderId="96" xfId="0" applyNumberFormat="1" applyFont="1" applyFill="1" applyBorder="1"/>
    <xf numFmtId="165" fontId="0" fillId="24" borderId="53" xfId="0" applyNumberFormat="1" applyFill="1" applyBorder="1"/>
    <xf numFmtId="165" fontId="0" fillId="21" borderId="150" xfId="0" applyNumberFormat="1" applyFill="1" applyBorder="1"/>
    <xf numFmtId="9" fontId="0" fillId="24" borderId="44" xfId="134" applyFont="1" applyFill="1" applyBorder="1"/>
    <xf numFmtId="9" fontId="0" fillId="21" borderId="143" xfId="134" applyFont="1" applyFill="1" applyBorder="1"/>
    <xf numFmtId="9" fontId="5" fillId="5" borderId="143" xfId="134" applyFont="1" applyFill="1" applyBorder="1"/>
    <xf numFmtId="9" fontId="5" fillId="21" borderId="143" xfId="134" applyFont="1" applyFill="1" applyBorder="1"/>
    <xf numFmtId="9" fontId="5" fillId="21" borderId="139" xfId="134" applyFont="1" applyFill="1" applyBorder="1"/>
    <xf numFmtId="9" fontId="5" fillId="5" borderId="161" xfId="134" applyFont="1" applyFill="1" applyBorder="1"/>
    <xf numFmtId="0" fontId="82" fillId="5" borderId="42" xfId="0" applyFont="1" applyFill="1" applyBorder="1" applyAlignment="1">
      <alignment horizontal="left" vertical="center"/>
    </xf>
    <xf numFmtId="0" fontId="0" fillId="5" borderId="43" xfId="0" applyFill="1" applyBorder="1" applyAlignment="1">
      <alignment horizontal="center" vertical="center"/>
    </xf>
    <xf numFmtId="0" fontId="5" fillId="5" borderId="43" xfId="0" applyFont="1" applyFill="1" applyBorder="1"/>
    <xf numFmtId="1" fontId="5" fillId="5" borderId="43" xfId="0" applyNumberFormat="1" applyFont="1" applyFill="1" applyBorder="1"/>
    <xf numFmtId="9" fontId="0" fillId="5" borderId="43" xfId="134" applyFont="1" applyFill="1" applyBorder="1"/>
    <xf numFmtId="165" fontId="0" fillId="24" borderId="42" xfId="0" applyNumberFormat="1" applyFill="1" applyBorder="1"/>
    <xf numFmtId="165" fontId="0" fillId="24" borderId="43" xfId="0" applyNumberFormat="1" applyFill="1" applyBorder="1"/>
    <xf numFmtId="165" fontId="0" fillId="24" borderId="44" xfId="0" applyNumberFormat="1" applyFill="1" applyBorder="1"/>
    <xf numFmtId="0" fontId="82" fillId="5" borderId="47" xfId="0" applyFont="1" applyFill="1" applyBorder="1" applyAlignment="1">
      <alignment horizontal="left" vertical="center"/>
    </xf>
    <xf numFmtId="0" fontId="0" fillId="5" borderId="48" xfId="0" applyFill="1" applyBorder="1" applyAlignment="1">
      <alignment horizontal="center" vertical="center"/>
    </xf>
    <xf numFmtId="9" fontId="0" fillId="5" borderId="48" xfId="134" applyFont="1" applyFill="1" applyBorder="1"/>
    <xf numFmtId="165" fontId="0" fillId="5" borderId="159" xfId="0" applyNumberFormat="1" applyFill="1" applyBorder="1"/>
    <xf numFmtId="0" fontId="0" fillId="5" borderId="113" xfId="0" applyFill="1" applyBorder="1" applyAlignment="1">
      <alignment wrapText="1"/>
    </xf>
    <xf numFmtId="0" fontId="0" fillId="0" borderId="43" xfId="0" applyBorder="1" applyAlignment="1">
      <alignment wrapText="1"/>
    </xf>
    <xf numFmtId="0" fontId="58" fillId="5" borderId="131" xfId="0" applyFont="1" applyFill="1" applyBorder="1" applyAlignment="1">
      <alignment wrapText="1"/>
    </xf>
    <xf numFmtId="0" fontId="101" fillId="0" borderId="0" xfId="0" applyFont="1" applyAlignment="1">
      <alignment vertical="top" wrapText="1"/>
    </xf>
    <xf numFmtId="0" fontId="102" fillId="0" borderId="0" xfId="0" applyFont="1" applyAlignment="1">
      <alignment vertical="top" wrapText="1"/>
    </xf>
    <xf numFmtId="0" fontId="103" fillId="0" borderId="0" xfId="0" applyFont="1" applyAlignment="1">
      <alignment vertical="top" wrapText="1"/>
    </xf>
    <xf numFmtId="1" fontId="104" fillId="23" borderId="0" xfId="0" applyNumberFormat="1" applyFont="1" applyFill="1" applyAlignment="1">
      <alignment horizontal="right" vertical="center"/>
    </xf>
    <xf numFmtId="1" fontId="105" fillId="25" borderId="0" xfId="0" applyNumberFormat="1" applyFont="1" applyFill="1" applyAlignment="1">
      <alignment horizontal="right" vertical="center"/>
    </xf>
    <xf numFmtId="0" fontId="106" fillId="0" borderId="0" xfId="0" applyFont="1" applyAlignment="1">
      <alignment horizontal="left" vertical="top"/>
    </xf>
    <xf numFmtId="0" fontId="107" fillId="0" borderId="0" xfId="0" applyFont="1" applyAlignment="1">
      <alignment vertical="top" wrapText="1"/>
    </xf>
    <xf numFmtId="0" fontId="108" fillId="0" borderId="0" xfId="0" applyFont="1" applyAlignment="1">
      <alignment vertical="top" wrapText="1"/>
    </xf>
    <xf numFmtId="1" fontId="0" fillId="23" borderId="0" xfId="0" applyNumberFormat="1" applyFill="1" applyAlignment="1">
      <alignment horizontal="right" vertical="center"/>
    </xf>
    <xf numFmtId="0" fontId="0" fillId="0" borderId="0" xfId="0" applyAlignment="1">
      <alignment horizontal="left" vertical="top"/>
    </xf>
    <xf numFmtId="0" fontId="101" fillId="0" borderId="41" xfId="0" applyFont="1" applyBorder="1" applyAlignment="1">
      <alignment vertical="top" wrapText="1"/>
    </xf>
    <xf numFmtId="0" fontId="107" fillId="0" borderId="41" xfId="0" applyFont="1" applyBorder="1" applyAlignment="1">
      <alignment vertical="top" wrapText="1"/>
    </xf>
    <xf numFmtId="0" fontId="108" fillId="0" borderId="41" xfId="0" applyFont="1" applyBorder="1" applyAlignment="1">
      <alignment vertical="top" wrapText="1"/>
    </xf>
    <xf numFmtId="1" fontId="0" fillId="23" borderId="41" xfId="0" applyNumberFormat="1" applyFill="1" applyBorder="1" applyAlignment="1">
      <alignment horizontal="right" vertical="center"/>
    </xf>
    <xf numFmtId="1" fontId="105" fillId="25" borderId="41" xfId="0" applyNumberFormat="1" applyFont="1" applyFill="1" applyBorder="1" applyAlignment="1">
      <alignment horizontal="right" vertical="center"/>
    </xf>
    <xf numFmtId="0" fontId="0" fillId="0" borderId="41" xfId="0" applyBorder="1" applyAlignment="1">
      <alignment horizontal="left" vertical="top"/>
    </xf>
    <xf numFmtId="0" fontId="0" fillId="0" borderId="0" xfId="0" applyAlignment="1">
      <alignment vertical="top" wrapText="1"/>
    </xf>
    <xf numFmtId="0" fontId="109" fillId="0" borderId="0" xfId="0" applyFont="1" applyAlignment="1">
      <alignment vertical="top" wrapText="1"/>
    </xf>
    <xf numFmtId="0" fontId="0" fillId="0" borderId="41" xfId="0" applyBorder="1" applyAlignment="1">
      <alignment vertical="top" wrapText="1"/>
    </xf>
    <xf numFmtId="0" fontId="109" fillId="0" borderId="41" xfId="0" applyFont="1" applyBorder="1" applyAlignment="1">
      <alignment vertical="top" wrapText="1"/>
    </xf>
    <xf numFmtId="1" fontId="112" fillId="25" borderId="41" xfId="0" applyNumberFormat="1" applyFont="1" applyFill="1" applyBorder="1" applyAlignment="1">
      <alignment horizontal="left" vertical="center"/>
    </xf>
    <xf numFmtId="0" fontId="113" fillId="0" borderId="0" xfId="0" applyFont="1" applyAlignment="1">
      <alignment vertical="top" wrapText="1"/>
    </xf>
    <xf numFmtId="2" fontId="0" fillId="0" borderId="0" xfId="0" applyNumberFormat="1" applyAlignment="1">
      <alignment horizontal="right" vertical="center"/>
    </xf>
    <xf numFmtId="1" fontId="0" fillId="0" borderId="0" xfId="0" applyNumberFormat="1" applyAlignment="1">
      <alignment horizontal="right" vertical="center"/>
    </xf>
    <xf numFmtId="0" fontId="107" fillId="43" borderId="0" xfId="0" applyFont="1" applyFill="1" applyAlignment="1">
      <alignment horizontal="left" vertical="top" wrapText="1"/>
    </xf>
    <xf numFmtId="0" fontId="0" fillId="43" borderId="0" xfId="0" applyFill="1" applyAlignment="1">
      <alignment horizontal="left" vertical="top" wrapText="1" indent="1"/>
    </xf>
    <xf numFmtId="0" fontId="109" fillId="43" borderId="0" xfId="0" applyFont="1" applyFill="1" applyAlignment="1">
      <alignment vertical="top" wrapText="1"/>
    </xf>
    <xf numFmtId="1" fontId="0" fillId="43" borderId="0" xfId="0" applyNumberFormat="1" applyFill="1" applyAlignment="1">
      <alignment horizontal="right" vertical="center"/>
    </xf>
    <xf numFmtId="0" fontId="0" fillId="43" borderId="0" xfId="0" applyFill="1" applyAlignment="1">
      <alignment vertical="top" wrapText="1"/>
    </xf>
    <xf numFmtId="0" fontId="107" fillId="43" borderId="0" xfId="0" applyFont="1" applyFill="1" applyAlignment="1">
      <alignment vertical="top" wrapText="1"/>
    </xf>
    <xf numFmtId="2" fontId="0" fillId="43" borderId="0" xfId="0" applyNumberFormat="1" applyFill="1" applyAlignment="1">
      <alignment horizontal="right" vertical="center"/>
    </xf>
    <xf numFmtId="0" fontId="0" fillId="43" borderId="0" xfId="0" applyFill="1" applyAlignment="1">
      <alignment horizontal="left" vertical="top"/>
    </xf>
    <xf numFmtId="0" fontId="107" fillId="0" borderId="0" xfId="0" applyFont="1" applyAlignment="1">
      <alignment horizontal="left" vertical="top" wrapText="1"/>
    </xf>
    <xf numFmtId="0" fontId="0" fillId="0" borderId="0" xfId="0" applyAlignment="1">
      <alignment horizontal="left" vertical="top" wrapText="1" indent="1"/>
    </xf>
    <xf numFmtId="0" fontId="107" fillId="43" borderId="41" xfId="0" applyFont="1" applyFill="1" applyBorder="1" applyAlignment="1">
      <alignment horizontal="left" vertical="top" wrapText="1"/>
    </xf>
    <xf numFmtId="0" fontId="0" fillId="43" borderId="41" xfId="0" applyFill="1" applyBorder="1" applyAlignment="1">
      <alignment horizontal="left" vertical="top" wrapText="1" indent="1"/>
    </xf>
    <xf numFmtId="0" fontId="109" fillId="43" borderId="41" xfId="0" applyFont="1" applyFill="1" applyBorder="1" applyAlignment="1">
      <alignment vertical="top" wrapText="1"/>
    </xf>
    <xf numFmtId="1" fontId="0" fillId="43" borderId="41" xfId="0" applyNumberFormat="1" applyFill="1" applyBorder="1" applyAlignment="1">
      <alignment horizontal="right" vertical="center"/>
    </xf>
    <xf numFmtId="0" fontId="0" fillId="43" borderId="41" xfId="0" applyFill="1" applyBorder="1" applyAlignment="1">
      <alignment vertical="top" wrapText="1"/>
    </xf>
    <xf numFmtId="0" fontId="107" fillId="43" borderId="41" xfId="0" applyFont="1" applyFill="1" applyBorder="1" applyAlignment="1">
      <alignment vertical="top" wrapText="1"/>
    </xf>
    <xf numFmtId="2" fontId="0" fillId="43" borderId="41" xfId="0" applyNumberFormat="1" applyFill="1" applyBorder="1" applyAlignment="1">
      <alignment horizontal="right" vertical="center"/>
    </xf>
    <xf numFmtId="0" fontId="0" fillId="43" borderId="41" xfId="0" applyFill="1" applyBorder="1" applyAlignment="1">
      <alignment horizontal="left" vertical="top"/>
    </xf>
    <xf numFmtId="0" fontId="120" fillId="0" borderId="0" xfId="0" applyFont="1" applyAlignment="1">
      <alignment horizontal="left" vertical="top" wrapText="1"/>
    </xf>
    <xf numFmtId="9" fontId="0" fillId="23" borderId="0" xfId="134" applyFont="1" applyFill="1" applyBorder="1" applyAlignment="1">
      <alignment horizontal="right" vertical="center"/>
    </xf>
    <xf numFmtId="0" fontId="104" fillId="0" borderId="0" xfId="0" applyFont="1" applyAlignment="1">
      <alignment horizontal="left" vertical="top"/>
    </xf>
    <xf numFmtId="2" fontId="0" fillId="47" borderId="0" xfId="0" applyNumberFormat="1" applyFill="1" applyAlignment="1">
      <alignment horizontal="right" vertical="center"/>
    </xf>
    <xf numFmtId="9" fontId="0" fillId="0" borderId="0" xfId="134" applyFont="1" applyFill="1" applyBorder="1" applyAlignment="1">
      <alignment horizontal="right" vertical="center"/>
    </xf>
    <xf numFmtId="0" fontId="107" fillId="21" borderId="0" xfId="0" applyFont="1" applyFill="1" applyAlignment="1">
      <alignment vertical="top" wrapText="1"/>
    </xf>
    <xf numFmtId="0" fontId="0" fillId="21" borderId="0" xfId="0" applyFill="1" applyAlignment="1">
      <alignment vertical="top" wrapText="1"/>
    </xf>
    <xf numFmtId="1" fontId="0" fillId="21" borderId="0" xfId="0" applyNumberFormat="1" applyFill="1" applyAlignment="1">
      <alignment horizontal="right" vertical="center"/>
    </xf>
    <xf numFmtId="0" fontId="0" fillId="21" borderId="0" xfId="0" applyFill="1" applyAlignment="1">
      <alignment horizontal="left" vertical="top"/>
    </xf>
    <xf numFmtId="2" fontId="0" fillId="0" borderId="41" xfId="0" applyNumberFormat="1" applyBorder="1" applyAlignment="1">
      <alignment horizontal="right" vertical="center"/>
    </xf>
    <xf numFmtId="0" fontId="102" fillId="0" borderId="41" xfId="0" applyFont="1" applyBorder="1" applyAlignment="1">
      <alignment vertical="top" wrapText="1"/>
    </xf>
    <xf numFmtId="0" fontId="103" fillId="0" borderId="41" xfId="0" applyFont="1" applyBorder="1" applyAlignment="1">
      <alignment vertical="top" wrapText="1"/>
    </xf>
    <xf numFmtId="1" fontId="106" fillId="0" borderId="41" xfId="0" applyNumberFormat="1" applyFont="1" applyBorder="1" applyAlignment="1">
      <alignment horizontal="right" vertical="center"/>
    </xf>
    <xf numFmtId="0" fontId="126" fillId="0" borderId="41" xfId="0" applyFont="1" applyBorder="1" applyAlignment="1">
      <alignment vertical="top" wrapText="1"/>
    </xf>
    <xf numFmtId="0" fontId="106" fillId="0" borderId="41" xfId="0" applyFont="1" applyBorder="1" applyAlignment="1">
      <alignment horizontal="left" vertical="top"/>
    </xf>
    <xf numFmtId="1" fontId="112" fillId="0" borderId="0" xfId="0" applyNumberFormat="1" applyFont="1" applyAlignment="1">
      <alignment horizontal="right" vertical="center"/>
    </xf>
    <xf numFmtId="1" fontId="0" fillId="25" borderId="0" xfId="0" applyNumberFormat="1" applyFill="1" applyAlignment="1">
      <alignment horizontal="right" vertical="center"/>
    </xf>
    <xf numFmtId="1" fontId="0" fillId="0" borderId="41" xfId="0" applyNumberFormat="1" applyBorder="1" applyAlignment="1">
      <alignment horizontal="right" vertical="center"/>
    </xf>
    <xf numFmtId="0" fontId="0" fillId="0" borderId="0" xfId="0" applyAlignment="1">
      <alignment horizontal="left" wrapText="1"/>
    </xf>
    <xf numFmtId="0" fontId="0" fillId="0" borderId="41" xfId="0" applyBorder="1" applyAlignment="1">
      <alignment horizontal="left" vertical="top" wrapText="1"/>
    </xf>
    <xf numFmtId="2" fontId="0" fillId="47" borderId="41" xfId="0" applyNumberFormat="1" applyFill="1" applyBorder="1" applyAlignment="1">
      <alignment horizontal="right" vertical="center"/>
    </xf>
    <xf numFmtId="1" fontId="112" fillId="0" borderId="41" xfId="0" applyNumberFormat="1" applyFont="1" applyBorder="1" applyAlignment="1">
      <alignment horizontal="right" vertical="center"/>
    </xf>
    <xf numFmtId="1" fontId="0" fillId="25" borderId="41" xfId="0" applyNumberFormat="1" applyFill="1" applyBorder="1" applyAlignment="1">
      <alignment horizontal="right" vertical="center"/>
    </xf>
    <xf numFmtId="0" fontId="0" fillId="0" borderId="41" xfId="0" applyBorder="1" applyAlignment="1">
      <alignment horizontal="left" vertical="center" wrapText="1"/>
    </xf>
    <xf numFmtId="0" fontId="128" fillId="0" borderId="0" xfId="0" applyFont="1" applyAlignment="1">
      <alignment vertical="top" wrapText="1"/>
    </xf>
    <xf numFmtId="0" fontId="0" fillId="0" borderId="0" xfId="0" applyAlignment="1">
      <alignment horizontal="right" vertical="top" wrapText="1"/>
    </xf>
    <xf numFmtId="165" fontId="107" fillId="0" borderId="0" xfId="0" applyNumberFormat="1" applyFont="1" applyAlignment="1">
      <alignment horizontal="right" vertical="center"/>
    </xf>
    <xf numFmtId="1" fontId="107" fillId="0" borderId="0" xfId="0" applyNumberFormat="1" applyFont="1" applyAlignment="1">
      <alignment horizontal="right" vertical="center"/>
    </xf>
    <xf numFmtId="43" fontId="0" fillId="0" borderId="0" xfId="152" applyFont="1" applyFill="1" applyBorder="1"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107" fillId="0" borderId="41" xfId="0" applyFont="1" applyBorder="1" applyAlignment="1">
      <alignment horizontal="left" vertical="top" wrapText="1"/>
    </xf>
    <xf numFmtId="165" fontId="0" fillId="0" borderId="41" xfId="0" applyNumberFormat="1" applyBorder="1" applyAlignment="1">
      <alignment horizontal="right" vertical="center"/>
    </xf>
    <xf numFmtId="43" fontId="0" fillId="0" borderId="41" xfId="152" applyFont="1" applyFill="1" applyBorder="1" applyAlignment="1">
      <alignment horizontal="left" vertical="top"/>
    </xf>
    <xf numFmtId="165" fontId="0" fillId="0" borderId="0" xfId="0" applyNumberFormat="1" applyAlignment="1">
      <alignment horizontal="right" vertical="center"/>
    </xf>
    <xf numFmtId="165" fontId="109" fillId="0" borderId="41" xfId="0" applyNumberFormat="1" applyFont="1" applyBorder="1" applyAlignment="1">
      <alignment horizontal="right" vertical="center"/>
    </xf>
    <xf numFmtId="1" fontId="109" fillId="0" borderId="41" xfId="0" applyNumberFormat="1" applyFont="1" applyBorder="1" applyAlignment="1">
      <alignment horizontal="right" vertical="center"/>
    </xf>
    <xf numFmtId="0" fontId="129" fillId="0" borderId="41" xfId="0" applyFont="1" applyBorder="1" applyAlignment="1">
      <alignment vertical="top" wrapText="1"/>
    </xf>
    <xf numFmtId="1" fontId="107" fillId="0" borderId="41" xfId="0" applyNumberFormat="1" applyFont="1" applyBorder="1" applyAlignment="1">
      <alignment horizontal="right" vertical="center"/>
    </xf>
    <xf numFmtId="0" fontId="126" fillId="0" borderId="0" xfId="0" applyFont="1" applyAlignment="1">
      <alignment horizontal="right" vertical="top" wrapText="1"/>
    </xf>
    <xf numFmtId="0" fontId="108" fillId="0" borderId="0" xfId="0" applyFont="1" applyAlignment="1">
      <alignment horizontal="right" vertical="top" wrapText="1"/>
    </xf>
    <xf numFmtId="0" fontId="0" fillId="0" borderId="41" xfId="0" applyBorder="1" applyAlignment="1">
      <alignment horizontal="right" vertical="top" wrapText="1"/>
    </xf>
    <xf numFmtId="1" fontId="107" fillId="0" borderId="41" xfId="134" applyNumberFormat="1" applyFont="1" applyFill="1" applyBorder="1" applyAlignment="1">
      <alignment horizontal="right" vertical="center"/>
    </xf>
    <xf numFmtId="9" fontId="107" fillId="0" borderId="41" xfId="134" applyFont="1" applyFill="1" applyBorder="1" applyAlignment="1">
      <alignment horizontal="right" vertical="center"/>
    </xf>
    <xf numFmtId="0" fontId="101" fillId="0" borderId="88" xfId="0" applyFont="1" applyBorder="1" applyAlignment="1">
      <alignment vertical="top" wrapText="1"/>
    </xf>
    <xf numFmtId="0" fontId="109" fillId="0" borderId="88" xfId="0" applyFont="1" applyBorder="1" applyAlignment="1">
      <alignment vertical="top" wrapText="1"/>
    </xf>
    <xf numFmtId="0" fontId="0" fillId="0" borderId="88" xfId="0" applyBorder="1" applyAlignment="1">
      <alignment vertical="top" wrapText="1"/>
    </xf>
    <xf numFmtId="165" fontId="130" fillId="0" borderId="88" xfId="0" applyNumberFormat="1" applyFont="1" applyBorder="1" applyAlignment="1">
      <alignment horizontal="right" vertical="center"/>
    </xf>
    <xf numFmtId="1" fontId="0" fillId="0" borderId="88" xfId="0" applyNumberFormat="1" applyBorder="1" applyAlignment="1">
      <alignment horizontal="right" vertical="center"/>
    </xf>
    <xf numFmtId="0" fontId="0" fillId="0" borderId="88" xfId="0" applyBorder="1" applyAlignment="1">
      <alignment horizontal="left" vertical="top"/>
    </xf>
    <xf numFmtId="43" fontId="0" fillId="0" borderId="88" xfId="152" applyFont="1" applyFill="1" applyBorder="1" applyAlignment="1">
      <alignment horizontal="left" vertical="top"/>
    </xf>
    <xf numFmtId="0" fontId="0" fillId="25" borderId="0" xfId="0" applyFill="1" applyBorder="1"/>
    <xf numFmtId="0" fontId="121" fillId="0" borderId="0" xfId="155" applyAlignment="1">
      <alignment horizontal="left" vertical="top"/>
    </xf>
    <xf numFmtId="1" fontId="121" fillId="0" borderId="0" xfId="155" applyNumberFormat="1" applyAlignment="1">
      <alignment horizontal="left" vertical="top"/>
    </xf>
    <xf numFmtId="0" fontId="104" fillId="0" borderId="0" xfId="155" applyFont="1" applyAlignment="1">
      <alignment horizontal="left" vertical="top"/>
    </xf>
    <xf numFmtId="2" fontId="121" fillId="0" borderId="0" xfId="155" applyNumberFormat="1" applyAlignment="1">
      <alignment horizontal="left" vertical="top"/>
    </xf>
    <xf numFmtId="0" fontId="5" fillId="0" borderId="61" xfId="0" applyFont="1" applyBorder="1"/>
    <xf numFmtId="0" fontId="5" fillId="0" borderId="25" xfId="0" applyFont="1" applyBorder="1"/>
    <xf numFmtId="0" fontId="5" fillId="25" borderId="0" xfId="0" applyFont="1" applyFill="1" applyBorder="1" applyAlignment="1">
      <alignment horizontal="center" vertical="center" textRotation="90" wrapText="1"/>
    </xf>
    <xf numFmtId="0" fontId="6" fillId="25" borderId="0" xfId="0" applyFont="1" applyFill="1" applyBorder="1" applyAlignment="1">
      <alignment horizontal="center" vertical="center" wrapText="1"/>
    </xf>
    <xf numFmtId="0" fontId="5" fillId="25" borderId="40" xfId="0" applyFont="1" applyFill="1" applyBorder="1"/>
    <xf numFmtId="1" fontId="0" fillId="25" borderId="52" xfId="0" applyNumberFormat="1" applyFill="1" applyBorder="1"/>
    <xf numFmtId="1" fontId="0" fillId="25" borderId="111" xfId="0" applyNumberFormat="1" applyFill="1" applyBorder="1"/>
    <xf numFmtId="0" fontId="5" fillId="0" borderId="41" xfId="0" applyFont="1" applyBorder="1"/>
    <xf numFmtId="2" fontId="5" fillId="25" borderId="97" xfId="0" applyNumberFormat="1" applyFont="1" applyFill="1" applyBorder="1"/>
    <xf numFmtId="1" fontId="5" fillId="25" borderId="97" xfId="0" applyNumberFormat="1" applyFont="1" applyFill="1" applyBorder="1"/>
    <xf numFmtId="0" fontId="0" fillId="0" borderId="0" xfId="0" applyBorder="1"/>
    <xf numFmtId="0" fontId="0" fillId="5" borderId="0" xfId="0" applyFill="1" applyBorder="1"/>
    <xf numFmtId="0" fontId="67" fillId="25" borderId="138" xfId="0" applyFont="1" applyFill="1" applyBorder="1"/>
    <xf numFmtId="49" fontId="0" fillId="25" borderId="0" xfId="0" applyNumberFormat="1" applyFill="1" applyBorder="1"/>
    <xf numFmtId="0" fontId="80" fillId="25" borderId="0" xfId="0" applyFont="1" applyFill="1" applyBorder="1"/>
    <xf numFmtId="170" fontId="80" fillId="25" borderId="0" xfId="0" applyNumberFormat="1" applyFont="1" applyFill="1" applyBorder="1" applyAlignment="1">
      <alignment horizontal="left" vertical="center"/>
    </xf>
    <xf numFmtId="0" fontId="79" fillId="25" borderId="0" xfId="0" applyFont="1" applyFill="1" applyBorder="1"/>
    <xf numFmtId="0" fontId="0" fillId="32" borderId="0" xfId="0" applyFill="1" applyBorder="1"/>
    <xf numFmtId="0" fontId="0" fillId="0" borderId="162" xfId="0" applyBorder="1"/>
    <xf numFmtId="0" fontId="0" fillId="0" borderId="163" xfId="0" applyBorder="1"/>
    <xf numFmtId="0" fontId="0" fillId="0" borderId="164" xfId="0" applyBorder="1"/>
    <xf numFmtId="0" fontId="5" fillId="31" borderId="144" xfId="0" applyFont="1" applyFill="1" applyBorder="1"/>
    <xf numFmtId="0" fontId="5" fillId="31" borderId="145" xfId="0" applyFont="1" applyFill="1" applyBorder="1"/>
    <xf numFmtId="4" fontId="5" fillId="41" borderId="144" xfId="0" applyNumberFormat="1" applyFont="1" applyFill="1" applyBorder="1"/>
    <xf numFmtId="0" fontId="5" fillId="0" borderId="160" xfId="0" applyFont="1" applyBorder="1"/>
    <xf numFmtId="2" fontId="5" fillId="31" borderId="144" xfId="0" applyNumberFormat="1" applyFont="1" applyFill="1" applyBorder="1"/>
    <xf numFmtId="2" fontId="5" fillId="31" borderId="0" xfId="0" applyNumberFormat="1" applyFont="1" applyFill="1" applyBorder="1"/>
    <xf numFmtId="2" fontId="5" fillId="0" borderId="144" xfId="0" applyNumberFormat="1" applyFont="1" applyBorder="1"/>
    <xf numFmtId="0" fontId="5" fillId="32" borderId="140" xfId="0" applyFont="1" applyFill="1" applyBorder="1"/>
    <xf numFmtId="0" fontId="5" fillId="32" borderId="142" xfId="0" applyFont="1" applyFill="1" applyBorder="1"/>
    <xf numFmtId="0" fontId="5" fillId="21" borderId="142" xfId="0" applyFont="1" applyFill="1" applyBorder="1"/>
    <xf numFmtId="0" fontId="52" fillId="25" borderId="149" xfId="0" applyFont="1" applyFill="1" applyBorder="1"/>
    <xf numFmtId="0" fontId="5" fillId="32" borderId="51" xfId="0" applyFont="1" applyFill="1" applyBorder="1"/>
    <xf numFmtId="0" fontId="5" fillId="32" borderId="97" xfId="0" applyFont="1" applyFill="1" applyBorder="1"/>
    <xf numFmtId="0" fontId="5" fillId="32" borderId="52" xfId="0" applyFont="1" applyFill="1" applyBorder="1"/>
    <xf numFmtId="0" fontId="5" fillId="24" borderId="130" xfId="0" applyFont="1" applyFill="1" applyBorder="1"/>
    <xf numFmtId="0" fontId="5" fillId="24" borderId="113" xfId="0" applyFont="1" applyFill="1" applyBorder="1"/>
    <xf numFmtId="0" fontId="5" fillId="32" borderId="58" xfId="0" applyFont="1" applyFill="1" applyBorder="1"/>
    <xf numFmtId="0" fontId="5" fillId="32" borderId="158" xfId="0" applyFont="1" applyFill="1" applyBorder="1"/>
    <xf numFmtId="0" fontId="5" fillId="32" borderId="59" xfId="0" applyFont="1" applyFill="1" applyBorder="1"/>
    <xf numFmtId="0" fontId="5" fillId="25" borderId="154" xfId="0" applyFont="1" applyFill="1" applyBorder="1"/>
    <xf numFmtId="0" fontId="0" fillId="0" borderId="104" xfId="0" applyBorder="1" applyAlignment="1">
      <alignment horizontal="right"/>
    </xf>
    <xf numFmtId="0" fontId="0" fillId="0" borderId="0" xfId="0" applyAlignment="1">
      <alignment horizontal="right"/>
    </xf>
    <xf numFmtId="0" fontId="0" fillId="0" borderId="86" xfId="0" applyBorder="1" applyAlignment="1">
      <alignment horizontal="right"/>
    </xf>
    <xf numFmtId="0" fontId="0" fillId="21" borderId="0" xfId="0" applyFill="1" applyAlignment="1">
      <alignment horizontal="right"/>
    </xf>
    <xf numFmtId="0" fontId="0" fillId="21" borderId="41" xfId="0" applyFill="1" applyBorder="1"/>
    <xf numFmtId="0" fontId="0" fillId="21" borderId="41" xfId="0" applyFill="1" applyBorder="1" applyAlignment="1">
      <alignment horizontal="right"/>
    </xf>
    <xf numFmtId="165" fontId="0" fillId="0" borderId="104" xfId="0" applyNumberFormat="1" applyBorder="1" applyAlignment="1">
      <alignment horizontal="right"/>
    </xf>
    <xf numFmtId="165" fontId="0" fillId="0" borderId="0" xfId="0" applyNumberFormat="1" applyAlignment="1">
      <alignment horizontal="right"/>
    </xf>
    <xf numFmtId="0" fontId="0" fillId="0" borderId="0" xfId="0" applyFill="1" applyBorder="1"/>
    <xf numFmtId="0" fontId="0" fillId="30" borderId="127" xfId="0" applyFill="1" applyBorder="1"/>
    <xf numFmtId="0" fontId="58"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5" fillId="5" borderId="0" xfId="0" applyFont="1" applyFill="1" applyBorder="1"/>
    <xf numFmtId="0" fontId="5" fillId="0" borderId="0" xfId="0" applyFont="1" applyBorder="1"/>
    <xf numFmtId="0" fontId="51" fillId="0" borderId="0" xfId="0" applyFont="1" applyBorder="1"/>
    <xf numFmtId="49" fontId="9" fillId="5" borderId="0" xfId="65" applyNumberFormat="1" applyFill="1" applyBorder="1" applyAlignment="1">
      <alignment horizontal="left" vertical="center"/>
    </xf>
    <xf numFmtId="2" fontId="5" fillId="0" borderId="0" xfId="0" applyNumberFormat="1" applyFont="1" applyBorder="1"/>
    <xf numFmtId="0" fontId="5" fillId="22" borderId="0" xfId="0" applyFont="1" applyFill="1" applyBorder="1"/>
    <xf numFmtId="2" fontId="5" fillId="22" borderId="0" xfId="0" applyNumberFormat="1" applyFont="1" applyFill="1" applyBorder="1"/>
    <xf numFmtId="165" fontId="0" fillId="39" borderId="51" xfId="0" applyNumberFormat="1" applyFill="1" applyBorder="1"/>
    <xf numFmtId="165" fontId="0" fillId="39" borderId="52" xfId="0" applyNumberFormat="1" applyFill="1" applyBorder="1"/>
    <xf numFmtId="165" fontId="0" fillId="39" borderId="150" xfId="0" applyNumberFormat="1" applyFill="1" applyBorder="1"/>
    <xf numFmtId="0" fontId="58" fillId="5" borderId="0" xfId="0" applyFont="1" applyFill="1" applyBorder="1"/>
    <xf numFmtId="0" fontId="58" fillId="5" borderId="140" xfId="0" applyFont="1" applyFill="1" applyBorder="1"/>
    <xf numFmtId="165" fontId="58" fillId="5" borderId="140" xfId="0" applyNumberFormat="1" applyFont="1" applyFill="1" applyBorder="1"/>
    <xf numFmtId="0" fontId="0" fillId="5" borderId="161" xfId="0" applyFill="1" applyBorder="1"/>
    <xf numFmtId="165" fontId="58" fillId="5" borderId="0" xfId="0" applyNumberFormat="1" applyFont="1" applyFill="1" applyBorder="1"/>
    <xf numFmtId="2" fontId="0" fillId="0" borderId="127" xfId="0" applyNumberFormat="1" applyBorder="1"/>
    <xf numFmtId="165" fontId="0" fillId="0" borderId="127" xfId="0" applyNumberFormat="1" applyBorder="1"/>
    <xf numFmtId="0" fontId="58" fillId="25" borderId="0" xfId="0" applyFont="1" applyFill="1" applyBorder="1"/>
    <xf numFmtId="165" fontId="0" fillId="0" borderId="0" xfId="0" applyNumberFormat="1" applyBorder="1"/>
    <xf numFmtId="0" fontId="78" fillId="25" borderId="0" xfId="0" applyFont="1" applyFill="1" applyBorder="1" applyAlignment="1">
      <alignment horizontal="left"/>
    </xf>
    <xf numFmtId="0" fontId="0" fillId="37" borderId="0" xfId="0" applyFill="1" applyBorder="1"/>
    <xf numFmtId="0" fontId="74" fillId="5" borderId="0" xfId="0" applyFont="1" applyFill="1" applyAlignment="1">
      <alignment horizontal="center" vertical="center"/>
    </xf>
    <xf numFmtId="0" fontId="0" fillId="36" borderId="0" xfId="0" applyFill="1" applyProtection="1">
      <protection hidden="1"/>
    </xf>
    <xf numFmtId="0" fontId="74" fillId="5" borderId="0" xfId="0" applyFont="1" applyFill="1" applyAlignment="1">
      <alignment horizontal="center"/>
    </xf>
    <xf numFmtId="0" fontId="79" fillId="37" borderId="0" xfId="0" applyFont="1" applyFill="1" applyAlignment="1">
      <alignment horizontal="left"/>
    </xf>
    <xf numFmtId="0" fontId="0" fillId="5" borderId="0" xfId="0" applyFill="1" applyBorder="1" applyAlignment="1">
      <alignment horizontal="center" vertical="center" wrapText="1"/>
    </xf>
    <xf numFmtId="0" fontId="59" fillId="32" borderId="42" xfId="0" applyFont="1" applyFill="1" applyBorder="1" applyAlignment="1">
      <alignment horizontal="left" vertical="center"/>
    </xf>
    <xf numFmtId="0" fontId="59" fillId="32" borderId="67" xfId="0" applyFont="1" applyFill="1" applyBorder="1" applyAlignment="1">
      <alignment horizontal="left" vertical="center"/>
    </xf>
    <xf numFmtId="0" fontId="76" fillId="5" borderId="0" xfId="0" applyFont="1" applyFill="1" applyAlignment="1">
      <alignment horizontal="center" vertical="center"/>
    </xf>
    <xf numFmtId="0" fontId="59" fillId="25" borderId="42" xfId="0" applyFont="1" applyFill="1" applyBorder="1" applyAlignment="1">
      <alignment horizontal="left" vertical="center"/>
    </xf>
    <xf numFmtId="0" fontId="59" fillId="25" borderId="43" xfId="0" applyFont="1" applyFill="1" applyBorder="1" applyAlignment="1">
      <alignment horizontal="left" vertical="center"/>
    </xf>
    <xf numFmtId="0" fontId="59" fillId="25" borderId="44" xfId="0" applyFont="1" applyFill="1" applyBorder="1" applyAlignment="1">
      <alignment horizontal="left" vertical="center"/>
    </xf>
    <xf numFmtId="0" fontId="59" fillId="25" borderId="67" xfId="0" applyFont="1" applyFill="1" applyBorder="1" applyAlignment="1">
      <alignment horizontal="left" vertical="center"/>
    </xf>
    <xf numFmtId="0" fontId="59" fillId="25" borderId="41" xfId="0" applyFont="1" applyFill="1" applyBorder="1" applyAlignment="1">
      <alignment horizontal="left" vertical="center"/>
    </xf>
    <xf numFmtId="0" fontId="59" fillId="25" borderId="68" xfId="0" applyFont="1" applyFill="1" applyBorder="1" applyAlignment="1">
      <alignment horizontal="left" vertical="center"/>
    </xf>
    <xf numFmtId="0" fontId="58" fillId="25" borderId="50" xfId="0" applyFont="1" applyFill="1" applyBorder="1" applyAlignment="1">
      <alignment horizontal="center" vertical="center" wrapText="1"/>
    </xf>
    <xf numFmtId="0" fontId="58" fillId="25" borderId="52" xfId="0" applyFont="1" applyFill="1" applyBorder="1" applyAlignment="1">
      <alignment horizontal="center" vertical="center" wrapText="1"/>
    </xf>
    <xf numFmtId="0" fontId="58" fillId="25" borderId="44" xfId="0" applyFont="1" applyFill="1" applyBorder="1" applyAlignment="1">
      <alignment horizontal="center" vertical="center" wrapText="1"/>
    </xf>
    <xf numFmtId="0" fontId="58" fillId="25" borderId="68" xfId="0" applyFont="1" applyFill="1" applyBorder="1" applyAlignment="1">
      <alignment horizontal="center" vertical="center" wrapText="1"/>
    </xf>
    <xf numFmtId="0" fontId="0" fillId="5" borderId="0" xfId="0" applyFill="1" applyAlignment="1">
      <alignment horizontal="center" wrapText="1"/>
    </xf>
    <xf numFmtId="0" fontId="6" fillId="25" borderId="145" xfId="0" applyFont="1" applyFill="1" applyBorder="1" applyAlignment="1">
      <alignment horizontal="center" vertical="center" wrapText="1"/>
    </xf>
    <xf numFmtId="0" fontId="6" fillId="25" borderId="106" xfId="0" applyFont="1" applyFill="1" applyBorder="1" applyAlignment="1">
      <alignment horizontal="center" vertical="center" wrapText="1"/>
    </xf>
    <xf numFmtId="0" fontId="6" fillId="25" borderId="25" xfId="0" applyFont="1" applyFill="1" applyBorder="1" applyAlignment="1">
      <alignment horizontal="center" vertical="center" wrapText="1"/>
    </xf>
    <xf numFmtId="0" fontId="5" fillId="25" borderId="55" xfId="0" applyFont="1" applyFill="1" applyBorder="1" applyAlignment="1">
      <alignment horizontal="center" vertical="center" textRotation="90" wrapText="1"/>
    </xf>
    <xf numFmtId="0" fontId="5" fillId="25" borderId="58" xfId="0" applyFont="1" applyFill="1" applyBorder="1" applyAlignment="1">
      <alignment horizontal="center" vertical="center" textRotation="90" wrapText="1"/>
    </xf>
    <xf numFmtId="0" fontId="5" fillId="25" borderId="59" xfId="0" applyFont="1" applyFill="1" applyBorder="1" applyAlignment="1">
      <alignment horizontal="center" vertical="center" textRotation="90" wrapText="1"/>
    </xf>
    <xf numFmtId="0" fontId="6" fillId="25" borderId="110" xfId="0" applyFont="1" applyFill="1" applyBorder="1" applyAlignment="1">
      <alignment horizontal="center" vertical="center" wrapText="1"/>
    </xf>
    <xf numFmtId="0" fontId="6" fillId="25" borderId="56" xfId="0" applyFont="1" applyFill="1" applyBorder="1" applyAlignment="1">
      <alignment horizontal="center" vertical="center" wrapText="1"/>
    </xf>
    <xf numFmtId="0" fontId="5" fillId="25" borderId="104" xfId="0" applyFont="1" applyFill="1" applyBorder="1" applyAlignment="1">
      <alignment horizontal="left" wrapText="1"/>
    </xf>
    <xf numFmtId="0" fontId="6" fillId="25" borderId="160" xfId="0" applyFont="1" applyFill="1" applyBorder="1" applyAlignment="1">
      <alignment horizontal="center" vertical="center" wrapText="1"/>
    </xf>
    <xf numFmtId="0" fontId="6" fillId="5" borderId="55"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5" borderId="59" xfId="0" applyFont="1" applyFill="1" applyBorder="1" applyAlignment="1">
      <alignment horizontal="center" vertical="center" wrapText="1"/>
    </xf>
    <xf numFmtId="0" fontId="84" fillId="5" borderId="55" xfId="0" applyFont="1" applyFill="1" applyBorder="1" applyAlignment="1">
      <alignment horizontal="center" vertical="center" textRotation="90" wrapText="1"/>
    </xf>
    <xf numFmtId="0" fontId="84" fillId="5" borderId="58" xfId="0" applyFont="1" applyFill="1" applyBorder="1" applyAlignment="1">
      <alignment horizontal="center" vertical="center" textRotation="90" wrapText="1"/>
    </xf>
    <xf numFmtId="0" fontId="84" fillId="5" borderId="59" xfId="0" applyFont="1" applyFill="1" applyBorder="1" applyAlignment="1">
      <alignment horizontal="center" vertical="center" textRotation="90" wrapText="1"/>
    </xf>
    <xf numFmtId="0" fontId="6" fillId="5" borderId="63" xfId="0" applyFont="1" applyFill="1" applyBorder="1" applyAlignment="1">
      <alignment horizontal="center" vertical="center" wrapText="1"/>
    </xf>
    <xf numFmtId="0" fontId="6" fillId="5" borderId="106"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56" xfId="0" applyFont="1" applyFill="1" applyBorder="1" applyAlignment="1">
      <alignment horizontal="center" vertical="center" wrapText="1"/>
    </xf>
    <xf numFmtId="0" fontId="0" fillId="5" borderId="43" xfId="0" applyFill="1" applyBorder="1" applyAlignment="1">
      <alignment horizontal="center"/>
    </xf>
    <xf numFmtId="0" fontId="0" fillId="5" borderId="44" xfId="0" applyFill="1" applyBorder="1" applyAlignment="1">
      <alignment horizontal="center"/>
    </xf>
    <xf numFmtId="0" fontId="0" fillId="5" borderId="85" xfId="0" applyFill="1" applyBorder="1" applyAlignment="1">
      <alignment horizontal="center"/>
    </xf>
    <xf numFmtId="0" fontId="0" fillId="5" borderId="99" xfId="0" applyFill="1" applyBorder="1" applyAlignment="1">
      <alignment horizontal="center"/>
    </xf>
    <xf numFmtId="0" fontId="84" fillId="5" borderId="50" xfId="0" applyFont="1" applyFill="1" applyBorder="1" applyAlignment="1">
      <alignment horizontal="center" vertical="center" textRotation="90" wrapText="1"/>
    </xf>
    <xf numFmtId="0" fontId="84" fillId="5" borderId="51" xfId="0" applyFont="1" applyFill="1" applyBorder="1" applyAlignment="1">
      <alignment horizontal="center" vertical="center" textRotation="90" wrapText="1"/>
    </xf>
    <xf numFmtId="0" fontId="84" fillId="5" borderId="52" xfId="0" applyFont="1" applyFill="1" applyBorder="1" applyAlignment="1">
      <alignment horizontal="center" vertical="center" textRotation="90" wrapText="1"/>
    </xf>
    <xf numFmtId="0" fontId="6" fillId="5" borderId="110" xfId="0" applyFont="1" applyFill="1" applyBorder="1" applyAlignment="1">
      <alignment horizontal="center" vertical="center" wrapText="1"/>
    </xf>
    <xf numFmtId="0" fontId="6" fillId="5" borderId="5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84" fillId="5" borderId="113" xfId="0" applyFont="1" applyFill="1" applyBorder="1" applyAlignment="1">
      <alignment horizontal="center" vertical="center" textRotation="90" wrapText="1"/>
    </xf>
    <xf numFmtId="0" fontId="84" fillId="5" borderId="24" xfId="0" applyFont="1" applyFill="1" applyBorder="1" applyAlignment="1">
      <alignment horizontal="center" vertical="center" textRotation="90" wrapText="1"/>
    </xf>
    <xf numFmtId="0" fontId="84" fillId="5" borderId="152" xfId="0" applyFont="1" applyFill="1" applyBorder="1" applyAlignment="1">
      <alignment horizontal="center" vertical="center" textRotation="90" wrapText="1"/>
    </xf>
    <xf numFmtId="0" fontId="0" fillId="0" borderId="33" xfId="0" applyBorder="1" applyAlignment="1">
      <alignment horizontal="center"/>
    </xf>
    <xf numFmtId="0" fontId="0" fillId="0" borderId="34" xfId="0" applyBorder="1" applyAlignment="1">
      <alignment horizontal="center"/>
    </xf>
    <xf numFmtId="0" fontId="0" fillId="23" borderId="113" xfId="0" applyFill="1" applyBorder="1" applyAlignment="1">
      <alignment horizontal="center" vertical="top" wrapText="1"/>
    </xf>
    <xf numFmtId="0" fontId="0" fillId="23" borderId="24" xfId="0" applyFill="1" applyBorder="1" applyAlignment="1">
      <alignment horizontal="center" vertical="top" wrapText="1"/>
    </xf>
    <xf numFmtId="0" fontId="0" fillId="23" borderId="129" xfId="0" applyFill="1" applyBorder="1" applyAlignment="1">
      <alignment horizontal="center" vertical="top" wrapText="1"/>
    </xf>
    <xf numFmtId="0" fontId="0" fillId="45" borderId="57" xfId="0" applyFill="1" applyBorder="1" applyAlignment="1">
      <alignment horizontal="center" textRotation="90" wrapText="1"/>
    </xf>
    <xf numFmtId="0" fontId="0" fillId="45" borderId="126" xfId="0" applyFill="1" applyBorder="1" applyAlignment="1">
      <alignment horizontal="center" textRotation="90" wrapText="1"/>
    </xf>
    <xf numFmtId="0" fontId="0" fillId="45" borderId="125" xfId="0" applyFill="1" applyBorder="1" applyAlignment="1">
      <alignment horizontal="center" textRotation="90" wrapText="1"/>
    </xf>
    <xf numFmtId="0" fontId="0" fillId="0" borderId="33" xfId="0" applyBorder="1" applyAlignment="1">
      <alignment horizontal="left"/>
    </xf>
    <xf numFmtId="0" fontId="0" fillId="0" borderId="34" xfId="0" applyBorder="1" applyAlignment="1">
      <alignment horizontal="left"/>
    </xf>
    <xf numFmtId="0" fontId="0" fillId="0" borderId="131" xfId="0" applyBorder="1" applyAlignment="1">
      <alignment horizontal="center" textRotation="90" wrapText="1"/>
    </xf>
    <xf numFmtId="0" fontId="0" fillId="0" borderId="79" xfId="0" applyBorder="1" applyAlignment="1">
      <alignment horizontal="center" textRotation="90" wrapText="1"/>
    </xf>
    <xf numFmtId="0" fontId="0" fillId="0" borderId="132" xfId="0" applyBorder="1" applyAlignment="1">
      <alignment horizontal="center" textRotation="90" wrapText="1"/>
    </xf>
    <xf numFmtId="0" fontId="0" fillId="0" borderId="57" xfId="0" applyBorder="1" applyAlignment="1">
      <alignment horizontal="center" textRotation="90" wrapText="1"/>
    </xf>
    <xf numFmtId="0" fontId="0" fillId="0" borderId="126" xfId="0" applyBorder="1" applyAlignment="1">
      <alignment horizontal="center" textRotation="90" wrapText="1"/>
    </xf>
    <xf numFmtId="0" fontId="0" fillId="0" borderId="125" xfId="0" applyBorder="1" applyAlignment="1">
      <alignment horizontal="center" textRotation="90" wrapText="1"/>
    </xf>
    <xf numFmtId="0" fontId="0" fillId="0" borderId="106" xfId="0" applyBorder="1" applyAlignment="1">
      <alignment horizontal="center" vertical="center" wrapText="1"/>
    </xf>
    <xf numFmtId="0" fontId="5" fillId="0" borderId="61" xfId="0" applyFont="1" applyBorder="1" applyAlignment="1">
      <alignment wrapText="1"/>
    </xf>
    <xf numFmtId="0" fontId="5" fillId="0" borderId="126" xfId="0" applyFont="1" applyBorder="1" applyAlignment="1">
      <alignment wrapText="1"/>
    </xf>
    <xf numFmtId="0" fontId="5" fillId="0" borderId="144" xfId="0" applyFont="1" applyBorder="1" applyAlignment="1">
      <alignment wrapText="1"/>
    </xf>
    <xf numFmtId="4" fontId="5" fillId="21" borderId="0" xfId="0" applyNumberFormat="1" applyFont="1" applyFill="1" applyAlignment="1">
      <alignment horizontal="right"/>
    </xf>
    <xf numFmtId="2" fontId="5" fillId="21" borderId="0" xfId="0" applyNumberFormat="1" applyFont="1" applyFill="1" applyAlignment="1">
      <alignment horizontal="right"/>
    </xf>
    <xf numFmtId="0" fontId="5" fillId="21" borderId="0" xfId="0" applyFont="1" applyFill="1" applyAlignment="1">
      <alignment horizontal="right"/>
    </xf>
    <xf numFmtId="0" fontId="5" fillId="5" borderId="63" xfId="0" applyFont="1" applyFill="1" applyBorder="1" applyAlignment="1">
      <alignment wrapText="1"/>
    </xf>
    <xf numFmtId="0" fontId="5" fillId="5" borderId="106" xfId="0" applyFont="1" applyFill="1" applyBorder="1" applyAlignment="1">
      <alignment wrapText="1"/>
    </xf>
    <xf numFmtId="0" fontId="5" fillId="5" borderId="25" xfId="0" applyFont="1" applyFill="1" applyBorder="1" applyAlignment="1">
      <alignment wrapText="1"/>
    </xf>
    <xf numFmtId="0" fontId="5" fillId="5" borderId="63" xfId="0" applyFont="1" applyFill="1" applyBorder="1"/>
    <xf numFmtId="0" fontId="5" fillId="5" borderId="106" xfId="0" applyFont="1" applyFill="1" applyBorder="1"/>
    <xf numFmtId="0" fontId="5" fillId="5" borderId="25" xfId="0" applyFont="1" applyFill="1" applyBorder="1"/>
    <xf numFmtId="0" fontId="5" fillId="31" borderId="104" xfId="0" applyFont="1" applyFill="1" applyBorder="1" applyAlignment="1">
      <alignment horizontal="center" wrapText="1"/>
    </xf>
    <xf numFmtId="0" fontId="5" fillId="31" borderId="0" xfId="0" applyFont="1" applyFill="1" applyAlignment="1">
      <alignment horizontal="center" wrapText="1"/>
    </xf>
    <xf numFmtId="0" fontId="5" fillId="31" borderId="39" xfId="0" applyFont="1" applyFill="1" applyBorder="1" applyAlignment="1">
      <alignment wrapText="1"/>
    </xf>
    <xf numFmtId="0" fontId="5" fillId="31" borderId="107" xfId="0" applyFont="1" applyFill="1" applyBorder="1" applyAlignment="1">
      <alignment wrapText="1"/>
    </xf>
    <xf numFmtId="0" fontId="5" fillId="31" borderId="36" xfId="0" applyFont="1" applyFill="1" applyBorder="1" applyAlignment="1">
      <alignment wrapText="1"/>
    </xf>
    <xf numFmtId="0" fontId="5" fillId="31" borderId="63" xfId="0" applyFont="1" applyFill="1" applyBorder="1" applyAlignment="1">
      <alignment wrapText="1"/>
    </xf>
    <xf numFmtId="0" fontId="5" fillId="31" borderId="25" xfId="0" applyFont="1" applyFill="1" applyBorder="1" applyAlignment="1">
      <alignment wrapText="1"/>
    </xf>
    <xf numFmtId="0" fontId="5" fillId="31" borderId="106" xfId="0" applyFont="1" applyFill="1" applyBorder="1" applyAlignment="1">
      <alignment wrapText="1"/>
    </xf>
    <xf numFmtId="0" fontId="5" fillId="31" borderId="57" xfId="0" applyFont="1" applyFill="1" applyBorder="1" applyAlignment="1">
      <alignment wrapText="1"/>
    </xf>
    <xf numFmtId="0" fontId="5" fillId="31" borderId="34" xfId="0" applyFont="1" applyFill="1" applyBorder="1" applyAlignment="1">
      <alignment wrapText="1"/>
    </xf>
    <xf numFmtId="0" fontId="5" fillId="31" borderId="63" xfId="0" applyFont="1" applyFill="1" applyBorder="1" applyAlignment="1">
      <alignment horizontal="left" wrapText="1"/>
    </xf>
    <xf numFmtId="0" fontId="5" fillId="31" borderId="107" xfId="0" applyFont="1" applyFill="1" applyBorder="1" applyAlignment="1">
      <alignment horizontal="left" wrapText="1"/>
    </xf>
    <xf numFmtId="0" fontId="5" fillId="31" borderId="36" xfId="0" applyFont="1" applyFill="1" applyBorder="1" applyAlignment="1">
      <alignment horizontal="left" wrapText="1"/>
    </xf>
    <xf numFmtId="0" fontId="5" fillId="31" borderId="39" xfId="0" applyFont="1" applyFill="1" applyBorder="1" applyAlignment="1">
      <alignment vertical="center" wrapText="1"/>
    </xf>
    <xf numFmtId="0" fontId="5" fillId="31" borderId="107" xfId="0" applyFont="1" applyFill="1" applyBorder="1" applyAlignment="1">
      <alignment vertical="center" wrapText="1"/>
    </xf>
    <xf numFmtId="0" fontId="5" fillId="31" borderId="61" xfId="0" applyFont="1" applyFill="1" applyBorder="1" applyAlignment="1">
      <alignment wrapText="1"/>
    </xf>
    <xf numFmtId="0" fontId="5" fillId="0" borderId="61" xfId="0" applyFont="1" applyBorder="1"/>
    <xf numFmtId="0" fontId="5" fillId="31" borderId="61" xfId="0" applyFont="1" applyFill="1" applyBorder="1" applyAlignment="1">
      <alignment horizontal="left" wrapText="1"/>
    </xf>
    <xf numFmtId="0" fontId="5" fillId="0" borderId="63" xfId="0" applyFont="1" applyBorder="1" applyAlignment="1">
      <alignment wrapText="1"/>
    </xf>
    <xf numFmtId="0" fontId="5" fillId="0" borderId="106" xfId="0" applyFont="1" applyBorder="1" applyAlignment="1">
      <alignment wrapText="1"/>
    </xf>
    <xf numFmtId="0" fontId="5" fillId="0" borderId="25" xfId="0" applyFont="1" applyBorder="1" applyAlignment="1">
      <alignment wrapText="1"/>
    </xf>
    <xf numFmtId="0" fontId="5" fillId="0" borderId="34" xfId="0" applyFont="1" applyBorder="1" applyAlignment="1">
      <alignment wrapText="1"/>
    </xf>
    <xf numFmtId="0" fontId="5" fillId="5" borderId="61" xfId="0" applyFont="1" applyFill="1" applyBorder="1" applyAlignment="1">
      <alignment wrapText="1"/>
    </xf>
    <xf numFmtId="0" fontId="51" fillId="0" borderId="61" xfId="0" applyFont="1" applyBorder="1" applyAlignment="1">
      <alignment wrapText="1"/>
    </xf>
    <xf numFmtId="2" fontId="5" fillId="0" borderId="104" xfId="0" applyNumberFormat="1" applyFont="1" applyBorder="1" applyAlignment="1">
      <alignment horizontal="right"/>
    </xf>
    <xf numFmtId="2" fontId="5" fillId="0" borderId="0" xfId="0" applyNumberFormat="1" applyFont="1" applyAlignment="1">
      <alignment horizontal="right"/>
    </xf>
    <xf numFmtId="0" fontId="5" fillId="5" borderId="63" xfId="0" applyFont="1" applyFill="1" applyBorder="1" applyAlignment="1">
      <alignment horizontal="left"/>
    </xf>
    <xf numFmtId="0" fontId="5" fillId="5" borderId="25" xfId="0" applyFont="1" applyFill="1" applyBorder="1" applyAlignment="1">
      <alignment horizontal="left"/>
    </xf>
    <xf numFmtId="0" fontId="5" fillId="31" borderId="34" xfId="0" applyFont="1" applyFill="1" applyBorder="1" applyAlignment="1">
      <alignment horizontal="left" wrapText="1"/>
    </xf>
    <xf numFmtId="0" fontId="5" fillId="5" borderId="61" xfId="0" applyFont="1" applyFill="1" applyBorder="1" applyAlignment="1">
      <alignment horizontal="left" wrapText="1"/>
    </xf>
    <xf numFmtId="2" fontId="6" fillId="21" borderId="61" xfId="0" applyNumberFormat="1" applyFont="1" applyFill="1" applyBorder="1" applyAlignment="1">
      <alignment horizontal="right"/>
    </xf>
    <xf numFmtId="2" fontId="6" fillId="21" borderId="63" xfId="0" applyNumberFormat="1" applyFont="1" applyFill="1" applyBorder="1" applyAlignment="1">
      <alignment horizontal="right"/>
    </xf>
    <xf numFmtId="2" fontId="6" fillId="21" borderId="25" xfId="0" applyNumberFormat="1" applyFont="1" applyFill="1" applyBorder="1" applyAlignment="1">
      <alignment horizontal="right"/>
    </xf>
    <xf numFmtId="0" fontId="5" fillId="0" borderId="34" xfId="0" applyFont="1" applyBorder="1"/>
    <xf numFmtId="0" fontId="5" fillId="0" borderId="63" xfId="0" applyFont="1" applyBorder="1"/>
    <xf numFmtId="0" fontId="5" fillId="0" borderId="25" xfId="0" applyFont="1" applyBorder="1"/>
    <xf numFmtId="0" fontId="26" fillId="5" borderId="75" xfId="111" quotePrefix="1" applyFont="1" applyFill="1" applyBorder="1" applyAlignment="1">
      <alignment horizontal="left" vertical="center" wrapText="1"/>
    </xf>
    <xf numFmtId="0" fontId="9" fillId="5" borderId="35" xfId="111" quotePrefix="1" applyFill="1" applyBorder="1" applyAlignment="1">
      <alignment horizontal="left" vertical="center" wrapText="1"/>
    </xf>
    <xf numFmtId="0" fontId="9" fillId="5" borderId="76" xfId="111" quotePrefix="1" applyFill="1" applyBorder="1" applyAlignment="1">
      <alignment horizontal="left" vertical="center" wrapText="1"/>
    </xf>
    <xf numFmtId="0" fontId="26" fillId="5" borderId="35" xfId="111" quotePrefix="1" applyFont="1" applyFill="1" applyBorder="1" applyAlignment="1">
      <alignment horizontal="left" vertical="center" wrapText="1"/>
    </xf>
    <xf numFmtId="0" fontId="26" fillId="5" borderId="76" xfId="111" quotePrefix="1" applyFont="1" applyFill="1" applyBorder="1" applyAlignment="1">
      <alignment horizontal="left" vertical="center" wrapText="1"/>
    </xf>
    <xf numFmtId="169" fontId="9" fillId="5" borderId="23" xfId="111" quotePrefix="1" applyNumberFormat="1" applyFill="1" applyBorder="1" applyAlignment="1">
      <alignment horizontal="left" vertical="center"/>
    </xf>
    <xf numFmtId="169" fontId="26" fillId="5" borderId="75" xfId="111" quotePrefix="1" applyNumberFormat="1" applyFont="1" applyFill="1" applyBorder="1" applyAlignment="1">
      <alignment horizontal="left" vertical="center"/>
    </xf>
    <xf numFmtId="169" fontId="26" fillId="5" borderId="35" xfId="111" applyNumberFormat="1" applyFont="1" applyFill="1" applyBorder="1" applyAlignment="1">
      <alignment horizontal="left" vertical="center"/>
    </xf>
    <xf numFmtId="169" fontId="26" fillId="5" borderId="76" xfId="111" applyNumberFormat="1" applyFont="1" applyFill="1" applyBorder="1" applyAlignment="1">
      <alignment horizontal="left" vertical="center"/>
    </xf>
    <xf numFmtId="169" fontId="26" fillId="0" borderId="23" xfId="111" quotePrefix="1" applyNumberFormat="1" applyFont="1" applyBorder="1" applyAlignment="1">
      <alignment horizontal="left" vertical="center" wrapText="1"/>
    </xf>
    <xf numFmtId="169" fontId="26" fillId="0" borderId="23" xfId="111" quotePrefix="1" applyNumberFormat="1" applyFont="1" applyBorder="1" applyAlignment="1">
      <alignment horizontal="left" vertical="center"/>
    </xf>
    <xf numFmtId="169" fontId="26" fillId="5" borderId="35" xfId="111" quotePrefix="1" applyNumberFormat="1" applyFont="1" applyFill="1" applyBorder="1" applyAlignment="1">
      <alignment horizontal="left" vertical="center"/>
    </xf>
    <xf numFmtId="169" fontId="26" fillId="5" borderId="76" xfId="111" quotePrefix="1" applyNumberFormat="1" applyFont="1" applyFill="1" applyBorder="1" applyAlignment="1">
      <alignment horizontal="left" vertical="center"/>
    </xf>
    <xf numFmtId="169" fontId="26" fillId="0" borderId="75" xfId="111" quotePrefix="1" applyNumberFormat="1" applyFont="1" applyBorder="1" applyAlignment="1">
      <alignment horizontal="left" vertical="center" wrapText="1"/>
    </xf>
    <xf numFmtId="169" fontId="26" fillId="0" borderId="35" xfId="111" quotePrefix="1" applyNumberFormat="1" applyFont="1" applyBorder="1" applyAlignment="1">
      <alignment horizontal="left" vertical="center"/>
    </xf>
    <xf numFmtId="169" fontId="26" fillId="0" borderId="76" xfId="111" quotePrefix="1" applyNumberFormat="1" applyFont="1" applyBorder="1" applyAlignment="1">
      <alignment horizontal="left" vertical="center"/>
    </xf>
    <xf numFmtId="169" fontId="26" fillId="0" borderId="75" xfId="111" quotePrefix="1" applyNumberFormat="1" applyFont="1" applyBorder="1" applyAlignment="1">
      <alignment horizontal="left" vertical="center"/>
    </xf>
    <xf numFmtId="0" fontId="26" fillId="5" borderId="75" xfId="111" applyFont="1" applyFill="1" applyBorder="1" applyAlignment="1">
      <alignment horizontal="left" vertical="center" wrapText="1"/>
    </xf>
    <xf numFmtId="0" fontId="26" fillId="5" borderId="35" xfId="111" applyFont="1" applyFill="1" applyBorder="1" applyAlignment="1">
      <alignment horizontal="left" vertical="center" wrapText="1"/>
    </xf>
    <xf numFmtId="0" fontId="14" fillId="5" borderId="17" xfId="65" applyFont="1" applyFill="1" applyBorder="1" applyAlignment="1">
      <alignment horizontal="left" vertical="top" wrapText="1"/>
    </xf>
    <xf numFmtId="0" fontId="18" fillId="5" borderId="17" xfId="65" applyFont="1" applyFill="1" applyBorder="1" applyAlignment="1">
      <alignment vertical="center" wrapText="1"/>
    </xf>
    <xf numFmtId="0" fontId="9" fillId="5" borderId="17" xfId="0" applyFont="1" applyFill="1" applyBorder="1" applyAlignment="1">
      <alignment vertical="center"/>
    </xf>
    <xf numFmtId="0" fontId="18" fillId="5" borderId="115" xfId="65" applyFont="1" applyFill="1" applyBorder="1" applyAlignment="1">
      <alignment vertical="center" wrapText="1"/>
    </xf>
    <xf numFmtId="0" fontId="17" fillId="6" borderId="18" xfId="65" applyFont="1" applyFill="1" applyBorder="1" applyAlignment="1">
      <alignment horizontal="center" vertical="center" wrapText="1"/>
    </xf>
    <xf numFmtId="0" fontId="17" fillId="6" borderId="0" xfId="65" applyFont="1" applyFill="1" applyAlignment="1">
      <alignment horizontal="center" vertical="center" wrapText="1"/>
    </xf>
    <xf numFmtId="0" fontId="17" fillId="6" borderId="12" xfId="65" applyFont="1" applyFill="1" applyBorder="1" applyAlignment="1">
      <alignment horizontal="center" vertical="center" wrapText="1"/>
    </xf>
    <xf numFmtId="0" fontId="17" fillId="6" borderId="7" xfId="65" applyFont="1" applyFill="1" applyBorder="1" applyAlignment="1">
      <alignment horizontal="center" vertical="center" wrapText="1"/>
    </xf>
    <xf numFmtId="0" fontId="17" fillId="6" borderId="9" xfId="65" applyFont="1" applyFill="1" applyBorder="1" applyAlignment="1">
      <alignment horizontal="center" vertical="center" wrapText="1"/>
    </xf>
    <xf numFmtId="0" fontId="17" fillId="6" borderId="10" xfId="65" applyFont="1" applyFill="1" applyBorder="1" applyAlignment="1">
      <alignment horizontal="center" vertical="center" wrapText="1"/>
    </xf>
    <xf numFmtId="0" fontId="17" fillId="5" borderId="17" xfId="65" applyFont="1" applyFill="1" applyBorder="1" applyAlignment="1">
      <alignment horizontal="center" vertical="center" wrapText="1"/>
    </xf>
    <xf numFmtId="0" fontId="14" fillId="5" borderId="17" xfId="65" applyFont="1" applyFill="1" applyBorder="1" applyAlignment="1">
      <alignment horizontal="center" vertical="center" wrapText="1"/>
    </xf>
    <xf numFmtId="0" fontId="9" fillId="5" borderId="17" xfId="0" applyFont="1" applyFill="1" applyBorder="1" applyAlignment="1">
      <alignment horizontal="center" vertical="center"/>
    </xf>
    <xf numFmtId="0" fontId="16" fillId="5" borderId="13" xfId="65" applyFont="1" applyFill="1" applyBorder="1" applyAlignment="1">
      <alignment horizontal="left" vertical="center" wrapText="1"/>
    </xf>
    <xf numFmtId="0" fontId="16" fillId="5" borderId="17" xfId="65" applyFont="1" applyFill="1" applyBorder="1" applyAlignment="1">
      <alignment horizontal="left" vertical="center" wrapText="1"/>
    </xf>
    <xf numFmtId="0" fontId="14" fillId="5" borderId="17" xfId="65" applyFont="1" applyFill="1" applyBorder="1" applyAlignment="1">
      <alignment horizontal="left" vertical="center" wrapText="1"/>
    </xf>
    <xf numFmtId="0" fontId="16" fillId="5" borderId="117" xfId="65" applyFont="1" applyFill="1" applyBorder="1" applyAlignment="1">
      <alignment horizontal="left" vertical="center" wrapText="1"/>
    </xf>
    <xf numFmtId="0" fontId="9" fillId="5" borderId="117" xfId="65" applyFill="1" applyBorder="1" applyAlignment="1">
      <alignment horizontal="left" vertical="center" wrapText="1"/>
    </xf>
    <xf numFmtId="0" fontId="14" fillId="5" borderId="13" xfId="65" applyFont="1" applyFill="1" applyBorder="1" applyAlignment="1">
      <alignment horizontal="center" vertical="center" wrapText="1"/>
    </xf>
    <xf numFmtId="0" fontId="17" fillId="5" borderId="13" xfId="65" applyFont="1" applyFill="1" applyBorder="1" applyAlignment="1">
      <alignment horizontal="center" vertical="center" textRotation="90" wrapText="1"/>
    </xf>
    <xf numFmtId="0" fontId="9" fillId="5" borderId="19" xfId="0" applyFont="1" applyFill="1" applyBorder="1" applyAlignment="1">
      <alignment horizontal="center" vertical="center"/>
    </xf>
    <xf numFmtId="0" fontId="17" fillId="6" borderId="3" xfId="65" applyFont="1" applyFill="1" applyBorder="1" applyAlignment="1">
      <alignment horizontal="center" vertical="center" wrapText="1"/>
    </xf>
    <xf numFmtId="0" fontId="17" fillId="6" borderId="14" xfId="65" applyFont="1" applyFill="1" applyBorder="1" applyAlignment="1">
      <alignment horizontal="center" vertical="center" wrapText="1"/>
    </xf>
    <xf numFmtId="0" fontId="17" fillId="6" borderId="15" xfId="65" applyFont="1" applyFill="1" applyBorder="1" applyAlignment="1">
      <alignment horizontal="center" vertical="center" wrapText="1"/>
    </xf>
    <xf numFmtId="0" fontId="16" fillId="5" borderId="102" xfId="65" applyFont="1" applyFill="1" applyBorder="1" applyAlignment="1">
      <alignment horizontal="left" vertical="center" wrapText="1"/>
    </xf>
    <xf numFmtId="0" fontId="9" fillId="5" borderId="102" xfId="65" applyFill="1" applyBorder="1" applyAlignment="1">
      <alignment horizontal="left" vertical="center" wrapText="1"/>
    </xf>
    <xf numFmtId="0" fontId="17" fillId="5" borderId="16" xfId="65" applyFont="1" applyFill="1" applyBorder="1" applyAlignment="1">
      <alignment horizontal="center" vertical="center" wrapText="1"/>
    </xf>
    <xf numFmtId="0" fontId="17" fillId="5" borderId="5" xfId="65" applyFont="1" applyFill="1" applyBorder="1" applyAlignment="1">
      <alignment horizontal="center" vertical="center" wrapText="1"/>
    </xf>
    <xf numFmtId="0" fontId="17" fillId="5" borderId="6" xfId="65" applyFont="1" applyFill="1" applyBorder="1" applyAlignment="1">
      <alignment horizontal="center" vertical="center" wrapText="1"/>
    </xf>
    <xf numFmtId="0" fontId="17" fillId="5" borderId="19" xfId="65" applyFont="1" applyFill="1" applyBorder="1" applyAlignment="1">
      <alignment horizontal="center" vertical="center" wrapText="1"/>
    </xf>
    <xf numFmtId="0" fontId="17" fillId="5" borderId="3" xfId="65" applyFont="1" applyFill="1" applyBorder="1" applyAlignment="1">
      <alignment horizontal="center" vertical="center" wrapText="1"/>
    </xf>
    <xf numFmtId="0" fontId="17" fillId="5" borderId="14" xfId="65" applyFont="1" applyFill="1" applyBorder="1" applyAlignment="1">
      <alignment horizontal="center" vertical="center" wrapText="1"/>
    </xf>
    <xf numFmtId="0" fontId="17" fillId="5" borderId="15" xfId="65" applyFont="1" applyFill="1" applyBorder="1" applyAlignment="1">
      <alignment horizontal="center" vertical="center" wrapText="1"/>
    </xf>
    <xf numFmtId="0" fontId="17" fillId="5" borderId="20" xfId="65" applyFont="1" applyFill="1" applyBorder="1" applyAlignment="1">
      <alignment horizontal="center" vertical="center" wrapText="1"/>
    </xf>
    <xf numFmtId="0" fontId="17" fillId="5" borderId="21" xfId="65" applyFont="1" applyFill="1" applyBorder="1" applyAlignment="1">
      <alignment horizontal="center" vertical="center" wrapText="1"/>
    </xf>
    <xf numFmtId="0" fontId="17" fillId="5" borderId="22" xfId="65" applyFont="1" applyFill="1" applyBorder="1" applyAlignment="1">
      <alignment horizontal="center" vertical="center" wrapText="1"/>
    </xf>
    <xf numFmtId="0" fontId="20" fillId="5" borderId="13" xfId="65" applyFont="1" applyFill="1" applyBorder="1" applyAlignment="1">
      <alignment horizontal="left" vertical="center" wrapText="1"/>
    </xf>
    <xf numFmtId="0" fontId="9" fillId="5" borderId="17" xfId="65" applyFill="1" applyBorder="1" applyAlignment="1">
      <alignment vertical="center" wrapText="1"/>
    </xf>
    <xf numFmtId="0" fontId="17" fillId="5" borderId="11" xfId="65" applyFont="1" applyFill="1" applyBorder="1" applyAlignment="1">
      <alignment horizontal="center" vertical="center" wrapText="1"/>
    </xf>
    <xf numFmtId="0" fontId="9" fillId="5" borderId="116" xfId="65" applyFill="1" applyBorder="1" applyAlignment="1">
      <alignment horizontal="center" vertical="center" wrapText="1"/>
    </xf>
    <xf numFmtId="0" fontId="9" fillId="5" borderId="118" xfId="65" applyFill="1" applyBorder="1" applyAlignment="1">
      <alignment horizontal="center" vertical="center" wrapText="1"/>
    </xf>
    <xf numFmtId="0" fontId="66" fillId="5" borderId="126" xfId="0" applyFont="1" applyFill="1" applyBorder="1" applyAlignment="1">
      <alignment horizontal="left" vertical="center" wrapText="1"/>
    </xf>
    <xf numFmtId="0" fontId="13" fillId="3" borderId="72" xfId="0" applyFont="1" applyFill="1" applyBorder="1" applyAlignment="1">
      <alignment horizontal="left" vertical="center"/>
    </xf>
    <xf numFmtId="0" fontId="13" fillId="3" borderId="71" xfId="0" applyFont="1" applyFill="1" applyBorder="1" applyAlignment="1">
      <alignment horizontal="left" vertical="center"/>
    </xf>
    <xf numFmtId="0" fontId="16" fillId="5" borderId="13" xfId="0" applyFont="1" applyFill="1" applyBorder="1" applyAlignment="1">
      <alignment vertical="center" wrapText="1"/>
    </xf>
    <xf numFmtId="0" fontId="16" fillId="5" borderId="17" xfId="0" applyFont="1" applyFill="1" applyBorder="1" applyAlignment="1">
      <alignment vertical="center" wrapText="1"/>
    </xf>
    <xf numFmtId="0" fontId="17" fillId="5" borderId="75" xfId="0" applyFont="1" applyFill="1" applyBorder="1" applyAlignment="1">
      <alignment horizontal="center" vertical="center" wrapText="1"/>
    </xf>
    <xf numFmtId="0" fontId="17" fillId="5" borderId="76"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62" fillId="5" borderId="13" xfId="0" applyFont="1" applyFill="1" applyBorder="1" applyAlignment="1">
      <alignment vertical="center" wrapText="1"/>
    </xf>
    <xf numFmtId="0" fontId="9" fillId="5" borderId="17" xfId="0" applyFont="1" applyFill="1" applyBorder="1" applyAlignment="1">
      <alignment vertical="center" wrapText="1"/>
    </xf>
    <xf numFmtId="169" fontId="64" fillId="5" borderId="75" xfId="65" applyNumberFormat="1" applyFont="1" applyFill="1" applyBorder="1" applyAlignment="1">
      <alignment horizontal="left" vertical="center" wrapText="1"/>
    </xf>
    <xf numFmtId="169" fontId="26" fillId="5" borderId="35" xfId="65" applyNumberFormat="1" applyFont="1" applyFill="1" applyBorder="1" applyAlignment="1">
      <alignment horizontal="left" vertical="center" wrapText="1"/>
    </xf>
    <xf numFmtId="169" fontId="26" fillId="5" borderId="76" xfId="65" applyNumberFormat="1" applyFont="1" applyFill="1" applyBorder="1" applyAlignment="1">
      <alignment horizontal="left" vertical="center" wrapText="1"/>
    </xf>
    <xf numFmtId="169" fontId="26" fillId="5" borderId="75" xfId="65" applyNumberFormat="1" applyFont="1" applyFill="1" applyBorder="1" applyAlignment="1">
      <alignment horizontal="left" vertical="center" wrapText="1"/>
    </xf>
    <xf numFmtId="0" fontId="9" fillId="5" borderId="17" xfId="65" applyFill="1" applyBorder="1" applyAlignment="1">
      <alignment horizontal="left" vertical="center" wrapText="1"/>
    </xf>
    <xf numFmtId="0" fontId="17"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8" fillId="5" borderId="17" xfId="65" applyFont="1" applyFill="1" applyBorder="1" applyAlignment="1">
      <alignment wrapText="1"/>
    </xf>
    <xf numFmtId="0" fontId="9" fillId="5" borderId="17" xfId="0" applyFont="1" applyFill="1" applyBorder="1"/>
    <xf numFmtId="0" fontId="13" fillId="3" borderId="8" xfId="0" applyFont="1" applyFill="1" applyBorder="1" applyAlignment="1">
      <alignment horizontal="left"/>
    </xf>
    <xf numFmtId="0" fontId="13" fillId="3" borderId="9" xfId="0" applyFont="1" applyFill="1" applyBorder="1" applyAlignment="1">
      <alignment horizontal="left"/>
    </xf>
    <xf numFmtId="167" fontId="17" fillId="5" borderId="20" xfId="0" applyNumberFormat="1" applyFont="1" applyFill="1" applyBorder="1" applyAlignment="1">
      <alignment horizontal="center" vertical="center" wrapText="1"/>
    </xf>
    <xf numFmtId="167" fontId="17" fillId="5" borderId="21" xfId="0" applyNumberFormat="1" applyFont="1" applyFill="1" applyBorder="1" applyAlignment="1">
      <alignment horizontal="center" vertical="center" wrapText="1"/>
    </xf>
    <xf numFmtId="167" fontId="17" fillId="5" borderId="22" xfId="0" applyNumberFormat="1" applyFont="1" applyFill="1" applyBorder="1" applyAlignment="1">
      <alignment horizontal="center" vertical="center" wrapText="1"/>
    </xf>
    <xf numFmtId="3" fontId="28" fillId="18" borderId="23" xfId="0" applyNumberFormat="1" applyFont="1" applyFill="1" applyBorder="1" applyAlignment="1">
      <alignment horizontal="center" vertical="center" wrapText="1"/>
    </xf>
    <xf numFmtId="167" fontId="17" fillId="5" borderId="16" xfId="0" applyNumberFormat="1" applyFont="1" applyFill="1" applyBorder="1" applyAlignment="1">
      <alignment horizontal="center" vertical="center" wrapText="1"/>
    </xf>
    <xf numFmtId="167" fontId="17" fillId="5" borderId="5" xfId="0" applyNumberFormat="1" applyFont="1" applyFill="1" applyBorder="1" applyAlignment="1">
      <alignment horizontal="center" vertical="center" wrapText="1"/>
    </xf>
    <xf numFmtId="167" fontId="17" fillId="5" borderId="6" xfId="0" applyNumberFormat="1" applyFont="1" applyFill="1" applyBorder="1" applyAlignment="1">
      <alignment horizontal="center" vertical="center" wrapText="1"/>
    </xf>
    <xf numFmtId="0" fontId="47" fillId="5" borderId="17" xfId="0" applyFont="1" applyFill="1" applyBorder="1" applyAlignment="1">
      <alignment vertical="center" wrapText="1"/>
    </xf>
    <xf numFmtId="3" fontId="17" fillId="6" borderId="18" xfId="0" applyNumberFormat="1" applyFont="1" applyFill="1" applyBorder="1" applyAlignment="1">
      <alignment horizontal="center" vertical="center" wrapText="1"/>
    </xf>
    <xf numFmtId="3" fontId="17" fillId="6" borderId="0" xfId="0" applyNumberFormat="1" applyFont="1" applyFill="1" applyAlignment="1">
      <alignment horizontal="center" vertical="center" wrapText="1"/>
    </xf>
    <xf numFmtId="3" fontId="17" fillId="6" borderId="12" xfId="0" applyNumberFormat="1" applyFont="1" applyFill="1" applyBorder="1" applyAlignment="1">
      <alignment horizontal="center" vertical="center" wrapText="1"/>
    </xf>
    <xf numFmtId="3" fontId="17" fillId="6" borderId="7" xfId="0" applyNumberFormat="1" applyFont="1" applyFill="1" applyBorder="1" applyAlignment="1">
      <alignment horizontal="center" vertical="center" wrapText="1"/>
    </xf>
    <xf numFmtId="3" fontId="17" fillId="6" borderId="9" xfId="0" applyNumberFormat="1" applyFont="1" applyFill="1" applyBorder="1" applyAlignment="1">
      <alignment horizontal="center" vertical="center" wrapText="1"/>
    </xf>
    <xf numFmtId="3" fontId="17" fillId="6" borderId="10" xfId="0" applyNumberFormat="1" applyFont="1" applyFill="1" applyBorder="1" applyAlignment="1">
      <alignment horizontal="center" vertical="center" wrapText="1"/>
    </xf>
    <xf numFmtId="0" fontId="17" fillId="5" borderId="17" xfId="65" applyFont="1" applyFill="1" applyBorder="1" applyAlignment="1">
      <alignment horizontal="center" vertical="top" wrapText="1"/>
    </xf>
    <xf numFmtId="3" fontId="17" fillId="5" borderId="17" xfId="0" applyNumberFormat="1" applyFont="1" applyFill="1" applyBorder="1" applyAlignment="1">
      <alignment horizontal="center" vertical="center" wrapText="1"/>
    </xf>
    <xf numFmtId="167" fontId="17" fillId="5" borderId="11" xfId="0" applyNumberFormat="1" applyFont="1" applyFill="1" applyBorder="1" applyAlignment="1">
      <alignment horizontal="center" vertical="center"/>
    </xf>
    <xf numFmtId="167" fontId="9" fillId="5" borderId="116" xfId="0" applyNumberFormat="1" applyFont="1" applyFill="1" applyBorder="1" applyAlignment="1">
      <alignment horizontal="center" vertical="center"/>
    </xf>
    <xf numFmtId="167" fontId="9" fillId="5" borderId="118" xfId="0" applyNumberFormat="1" applyFont="1" applyFill="1" applyBorder="1" applyAlignment="1">
      <alignment horizontal="center" vertical="center"/>
    </xf>
    <xf numFmtId="0" fontId="17" fillId="5" borderId="19" xfId="65" applyFont="1" applyFill="1" applyBorder="1" applyAlignment="1">
      <alignment horizontal="center" vertical="top" wrapText="1"/>
    </xf>
    <xf numFmtId="3" fontId="17" fillId="5" borderId="120" xfId="0" applyNumberFormat="1" applyFont="1" applyFill="1" applyBorder="1" applyAlignment="1">
      <alignment horizontal="center" vertical="center" wrapText="1"/>
    </xf>
    <xf numFmtId="3" fontId="17" fillId="5" borderId="19" xfId="0" applyNumberFormat="1" applyFont="1" applyFill="1" applyBorder="1" applyAlignment="1">
      <alignment horizontal="center" vertical="center" wrapText="1"/>
    </xf>
    <xf numFmtId="0" fontId="19" fillId="0" borderId="18" xfId="0" applyFont="1" applyBorder="1" applyAlignment="1">
      <alignment horizontal="center" vertical="top" wrapText="1"/>
    </xf>
    <xf numFmtId="0" fontId="19" fillId="0" borderId="0" xfId="0" applyFont="1" applyAlignment="1">
      <alignment horizontal="center" vertical="top" wrapText="1"/>
    </xf>
    <xf numFmtId="0" fontId="19" fillId="0" borderId="12" xfId="0" applyFont="1" applyBorder="1" applyAlignment="1">
      <alignment horizontal="center" vertical="top" wrapText="1"/>
    </xf>
    <xf numFmtId="0" fontId="19" fillId="0" borderId="7" xfId="0" applyFont="1" applyBorder="1" applyAlignment="1">
      <alignment horizontal="center" vertical="top" wrapText="1"/>
    </xf>
    <xf numFmtId="0" fontId="19" fillId="0" borderId="9" xfId="0" applyFont="1" applyBorder="1" applyAlignment="1">
      <alignment horizontal="center" vertical="top" wrapText="1"/>
    </xf>
    <xf numFmtId="0" fontId="19" fillId="0" borderId="10" xfId="0" applyFont="1" applyBorder="1" applyAlignment="1">
      <alignment horizontal="center" vertical="top" wrapText="1"/>
    </xf>
    <xf numFmtId="11" fontId="66" fillId="5" borderId="126" xfId="0" applyNumberFormat="1" applyFont="1" applyFill="1" applyBorder="1" applyAlignment="1">
      <alignment horizontal="left" vertical="center" wrapText="1"/>
    </xf>
    <xf numFmtId="11" fontId="19" fillId="0" borderId="3" xfId="0" applyNumberFormat="1"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11" fontId="62" fillId="5" borderId="31" xfId="0" applyNumberFormat="1" applyFont="1" applyFill="1" applyBorder="1" applyAlignment="1">
      <alignment vertical="center" wrapText="1"/>
    </xf>
    <xf numFmtId="0" fontId="9" fillId="5" borderId="122" xfId="0" applyFont="1" applyFill="1" applyBorder="1" applyAlignment="1">
      <alignment vertical="center" wrapText="1"/>
    </xf>
    <xf numFmtId="0" fontId="9" fillId="5" borderId="124" xfId="0" applyFont="1" applyFill="1" applyBorder="1" applyAlignment="1">
      <alignment vertical="center" wrapText="1"/>
    </xf>
    <xf numFmtId="11" fontId="17" fillId="5" borderId="19" xfId="0" applyNumberFormat="1" applyFont="1" applyFill="1" applyBorder="1" applyAlignment="1">
      <alignment horizontal="center" vertical="top" wrapText="1"/>
    </xf>
    <xf numFmtId="0" fontId="9" fillId="5" borderId="19" xfId="0" applyFont="1" applyFill="1" applyBorder="1" applyAlignment="1">
      <alignment horizontal="center" vertical="top" wrapText="1"/>
    </xf>
    <xf numFmtId="11" fontId="17" fillId="6" borderId="18" xfId="0" applyNumberFormat="1" applyFont="1" applyFill="1" applyBorder="1" applyAlignment="1">
      <alignment horizontal="center" vertical="center" wrapText="1"/>
    </xf>
    <xf numFmtId="11" fontId="17" fillId="6" borderId="0" xfId="0" applyNumberFormat="1" applyFont="1" applyFill="1" applyAlignment="1">
      <alignment horizontal="center" vertical="center" wrapText="1"/>
    </xf>
    <xf numFmtId="11" fontId="17" fillId="6" borderId="12" xfId="0" applyNumberFormat="1" applyFont="1" applyFill="1" applyBorder="1" applyAlignment="1">
      <alignment horizontal="center" vertical="center" wrapText="1"/>
    </xf>
    <xf numFmtId="11" fontId="17" fillId="5" borderId="17" xfId="0" applyNumberFormat="1" applyFont="1" applyFill="1" applyBorder="1" applyAlignment="1">
      <alignment horizontal="center" vertical="top" wrapText="1"/>
    </xf>
    <xf numFmtId="0" fontId="9" fillId="5" borderId="17" xfId="0" applyFont="1" applyFill="1" applyBorder="1" applyAlignment="1">
      <alignment horizontal="center" vertical="top" wrapText="1"/>
    </xf>
    <xf numFmtId="11" fontId="16" fillId="5" borderId="31" xfId="0" applyNumberFormat="1" applyFont="1" applyFill="1" applyBorder="1" applyAlignment="1">
      <alignment vertical="center" wrapText="1"/>
    </xf>
    <xf numFmtId="0" fontId="9" fillId="5" borderId="121" xfId="0" applyFont="1" applyFill="1" applyBorder="1" applyAlignment="1">
      <alignment vertical="center" wrapText="1"/>
    </xf>
    <xf numFmtId="0" fontId="9" fillId="5" borderId="123" xfId="0" applyFont="1" applyFill="1" applyBorder="1" applyAlignment="1">
      <alignment vertical="center" wrapText="1"/>
    </xf>
    <xf numFmtId="11" fontId="17" fillId="6" borderId="3" xfId="0" applyNumberFormat="1"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5" xfId="0" applyFont="1" applyFill="1" applyBorder="1" applyAlignment="1">
      <alignment horizontal="center" vertical="center" wrapText="1"/>
    </xf>
    <xf numFmtId="11" fontId="17" fillId="5" borderId="16" xfId="0" applyNumberFormat="1" applyFont="1" applyFill="1" applyBorder="1" applyAlignment="1">
      <alignment horizontal="center" vertical="top" wrapText="1"/>
    </xf>
    <xf numFmtId="11" fontId="17" fillId="5" borderId="5" xfId="0" applyNumberFormat="1" applyFont="1" applyFill="1" applyBorder="1" applyAlignment="1">
      <alignment horizontal="center" vertical="top" wrapText="1"/>
    </xf>
    <xf numFmtId="11" fontId="17" fillId="5" borderId="6" xfId="0" applyNumberFormat="1" applyFont="1" applyFill="1" applyBorder="1" applyAlignment="1">
      <alignment horizontal="center" vertical="top" wrapText="1"/>
    </xf>
  </cellXfs>
  <cellStyles count="156">
    <cellStyle name="2x indented GHG Textfiels" xfId="68" xr:uid="{00000000-0005-0000-0000-000000000000}"/>
    <cellStyle name="2x indented GHG Textfiels 2" xfId="136" xr:uid="{848C171A-3C7D-4E87-B3E8-C540E14F18B3}"/>
    <cellStyle name="5x indented GHG Textfiels" xfId="69" xr:uid="{00000000-0005-0000-0000-000001000000}"/>
    <cellStyle name="Boden" xfId="70" xr:uid="{00000000-0005-0000-0000-000023000000}"/>
    <cellStyle name="Body text" xfId="71" xr:uid="{00000000-0005-0000-0000-000024000000}"/>
    <cellStyle name="Bold GHG Numbers (0.00)" xfId="72" xr:uid="{00000000-0005-0000-0000-000025000000}"/>
    <cellStyle name="Comma [0]_CAS Ciba" xfId="73" xr:uid="{00000000-0005-0000-0000-000026000000}"/>
    <cellStyle name="Comma_CAS Ciba" xfId="74" xr:uid="{00000000-0005-0000-0000-000027000000}"/>
    <cellStyle name="comment" xfId="75" xr:uid="{00000000-0005-0000-0000-000028000000}"/>
    <cellStyle name="Currency [0]_CAS Ciba" xfId="76" xr:uid="{00000000-0005-0000-0000-000029000000}"/>
    <cellStyle name="Currency_CAS Ciba" xfId="77" xr:uid="{00000000-0005-0000-0000-00002A000000}"/>
    <cellStyle name="Dezimal 2" xfId="131" xr:uid="{00000000-0005-0000-0000-00002B000000}"/>
    <cellStyle name="dt" xfId="78" xr:uid="{00000000-0005-0000-0000-00002C000000}"/>
    <cellStyle name="EcoTitel" xfId="79" xr:uid="{00000000-0005-0000-0000-00002D000000}"/>
    <cellStyle name="EcoZahl" xfId="80" xr:uid="{00000000-0005-0000-0000-00002E000000}"/>
    <cellStyle name="Eingabe 2" xfId="81" xr:uid="{00000000-0005-0000-0000-00002F000000}"/>
    <cellStyle name="Euro" xfId="82" xr:uid="{00000000-0005-0000-0000-000030000000}"/>
    <cellStyle name="header" xfId="83" xr:uid="{00000000-0005-0000-0000-000031000000}"/>
    <cellStyle name="Header Total" xfId="84" xr:uid="{00000000-0005-0000-0000-000032000000}"/>
    <cellStyle name="Headline" xfId="85" xr:uid="{00000000-0005-0000-0000-000033000000}"/>
    <cellStyle name="kg" xfId="86" xr:uid="{00000000-0005-0000-0000-000055000000}"/>
    <cellStyle name="Komma 2" xfId="87" xr:uid="{00000000-0005-0000-0000-000056000000}"/>
    <cellStyle name="Komma 3" xfId="67" xr:uid="{00000000-0005-0000-0000-000057000000}"/>
    <cellStyle name="Komma 3 2" xfId="88" xr:uid="{00000000-0005-0000-0000-000058000000}"/>
    <cellStyle name="Komma 3 2 2" xfId="137" xr:uid="{45F04C5A-ECE3-45CC-836D-E9224AAC85A2}"/>
    <cellStyle name="Komma 3 3" xfId="89" xr:uid="{00000000-0005-0000-0000-000059000000}"/>
    <cellStyle name="Komma 3 3 2" xfId="138" xr:uid="{8B08C4EF-CE92-41F5-8496-FF4DB70F674A}"/>
    <cellStyle name="Komma 3 4" xfId="90" xr:uid="{00000000-0005-0000-0000-00005A000000}"/>
    <cellStyle name="Komma 3 4 2" xfId="139" xr:uid="{E46A9638-3D5E-434A-B684-F7E38963CFFA}"/>
    <cellStyle name="Komma 3 5" xfId="91" xr:uid="{00000000-0005-0000-0000-00005B000000}"/>
    <cellStyle name="Komma 3 5 2" xfId="140" xr:uid="{23B59923-D880-4F1E-AAE7-9477B2CA7B4F}"/>
    <cellStyle name="Komma 3 6" xfId="135" xr:uid="{098016BC-E78C-4AAF-8A57-76CCF2768515}"/>
    <cellStyle name="Komma 4" xfId="92" xr:uid="{00000000-0005-0000-0000-00005C000000}"/>
    <cellStyle name="Komma 4 2" xfId="141" xr:uid="{6B8924B0-FEC5-41F0-8C23-3D4B543CF429}"/>
    <cellStyle name="l" xfId="93" xr:uid="{00000000-0005-0000-0000-00005D000000}"/>
    <cellStyle name="Lien hypertexte" xfId="31" builtinId="8" hidden="1"/>
    <cellStyle name="Lien hypertexte" xfId="51" builtinId="8" hidden="1"/>
    <cellStyle name="Lien hypertexte" xfId="55" builtinId="8" hidden="1"/>
    <cellStyle name="Lien hypertexte" xfId="57" builtinId="8" hidden="1"/>
    <cellStyle name="Lien hypertexte" xfId="63" builtinId="8" hidden="1"/>
    <cellStyle name="Lien hypertexte" xfId="47" builtinId="8" hidden="1"/>
    <cellStyle name="Lien hypertexte" xfId="49" builtinId="8" hidden="1"/>
    <cellStyle name="Lien hypertexte" xfId="41" builtinId="8" hidden="1"/>
    <cellStyle name="Lien hypertexte" xfId="43" builtinId="8" hidden="1"/>
    <cellStyle name="Lien hypertexte" xfId="59" builtinId="8" hidden="1"/>
    <cellStyle name="Lien hypertexte" xfId="53" builtinId="8" hidden="1"/>
    <cellStyle name="Lien hypertexte" xfId="13" builtinId="8" hidden="1"/>
    <cellStyle name="Lien hypertexte" xfId="37" builtinId="8" hidden="1"/>
    <cellStyle name="Lien hypertexte" xfId="61" builtinId="8" hidden="1"/>
    <cellStyle name="Lien hypertexte" xfId="45" builtinId="8" hidden="1"/>
    <cellStyle name="Lien hypertexte" xfId="17" builtinId="8" hidden="1"/>
    <cellStyle name="Lien hypertexte" xfId="19" builtinId="8" hidden="1"/>
    <cellStyle name="Lien hypertexte" xfId="23" builtinId="8" hidden="1"/>
    <cellStyle name="Lien hypertexte" xfId="25" builtinId="8" hidden="1"/>
    <cellStyle name="Lien hypertexte" xfId="27" builtinId="8" hidden="1"/>
    <cellStyle name="Lien hypertexte" xfId="33" builtinId="8" hidden="1"/>
    <cellStyle name="Lien hypertexte" xfId="35" builtinId="8" hidden="1"/>
    <cellStyle name="Lien hypertexte" xfId="29" builtinId="8" hidden="1"/>
    <cellStyle name="Lien hypertexte" xfId="132" builtinId="8" hidden="1"/>
    <cellStyle name="Lien hypertexte" xfId="15" builtinId="8" hidden="1"/>
    <cellStyle name="Lien hypertexte" xfId="3" builtinId="8" hidden="1"/>
    <cellStyle name="Lien hypertexte" xfId="7" builtinId="8" hidden="1"/>
    <cellStyle name="Lien hypertexte" xfId="1" builtinId="8" hidden="1"/>
    <cellStyle name="Lien hypertexte" xfId="5" builtinId="8" hidden="1"/>
    <cellStyle name="Lien hypertexte" xfId="9" builtinId="8" hidden="1"/>
    <cellStyle name="Lien hypertexte" xfId="11" builtinId="8" hidden="1"/>
    <cellStyle name="Lien hypertexte" xfId="21" builtinId="8" hidden="1"/>
    <cellStyle name="Lien hypertexte" xfId="39" builtinId="8" hidden="1"/>
    <cellStyle name="Lien hypertexte" xfId="151" builtinId="8"/>
    <cellStyle name="Lien hypertexte visité" xfId="4" builtinId="9" hidden="1"/>
    <cellStyle name="Lien hypertexte visité" xfId="6" builtinId="9" hidden="1"/>
    <cellStyle name="Lien hypertexte visité" xfId="2" builtinId="9" hidden="1"/>
    <cellStyle name="Lien hypertexte visité" xfId="62" builtinId="9" hidden="1"/>
    <cellStyle name="Lien hypertexte visité" xfId="38" builtinId="9" hidden="1"/>
    <cellStyle name="Lien hypertexte visité" xfId="40" builtinId="9" hidden="1"/>
    <cellStyle name="Lien hypertexte visité" xfId="42" builtinId="9" hidden="1"/>
    <cellStyle name="Lien hypertexte visité" xfId="46" builtinId="9" hidden="1"/>
    <cellStyle name="Lien hypertexte visité" xfId="48" builtinId="9" hidden="1"/>
    <cellStyle name="Lien hypertexte visité" xfId="50" builtinId="9" hidden="1"/>
    <cellStyle name="Lien hypertexte visité" xfId="44" builtinId="9" hidden="1"/>
    <cellStyle name="Lien hypertexte visité" xfId="30" builtinId="9" hidden="1"/>
    <cellStyle name="Lien hypertexte visité" xfId="32" builtinId="9" hidden="1"/>
    <cellStyle name="Lien hypertexte visité" xfId="34" builtinId="9" hidden="1"/>
    <cellStyle name="Lien hypertexte visité" xfId="133" builtinId="9" hidden="1"/>
    <cellStyle name="Lien hypertexte visité" xfId="28" builtinId="9" hidden="1"/>
    <cellStyle name="Lien hypertexte visité" xfId="64" builtinId="9" hidden="1"/>
    <cellStyle name="Lien hypertexte visité" xfId="54" builtinId="9" hidden="1"/>
    <cellStyle name="Lien hypertexte visité" xfId="24" builtinId="9" hidden="1"/>
    <cellStyle name="Lien hypertexte visité" xfId="16" builtinId="9" hidden="1"/>
    <cellStyle name="Lien hypertexte visité" xfId="18" builtinId="9" hidden="1"/>
    <cellStyle name="Lien hypertexte visité" xfId="20" builtinId="9" hidden="1"/>
    <cellStyle name="Lien hypertexte visité" xfId="26" builtinId="9" hidden="1"/>
    <cellStyle name="Lien hypertexte visité" xfId="8" builtinId="9" hidden="1"/>
    <cellStyle name="Lien hypertexte visité" xfId="10" builtinId="9" hidden="1"/>
    <cellStyle name="Lien hypertexte visité" xfId="12" builtinId="9" hidden="1"/>
    <cellStyle name="Lien hypertexte visité" xfId="22" builtinId="9" hidden="1"/>
    <cellStyle name="Lien hypertexte visité" xfId="52" builtinId="9" hidden="1"/>
    <cellStyle name="Lien hypertexte visité" xfId="36" builtinId="9" hidden="1"/>
    <cellStyle name="Lien hypertexte visité" xfId="14" builtinId="9" hidden="1"/>
    <cellStyle name="Lien hypertexte visité" xfId="58" builtinId="9" hidden="1"/>
    <cellStyle name="Lien hypertexte visité" xfId="60" builtinId="9" hidden="1"/>
    <cellStyle name="Lien hypertexte visité" xfId="56" builtinId="9" hidden="1"/>
    <cellStyle name="Luft" xfId="94" xr:uid="{00000000-0005-0000-0000-00005E000000}"/>
    <cellStyle name="m2" xfId="95" xr:uid="{00000000-0005-0000-0000-00005F000000}"/>
    <cellStyle name="m2a" xfId="96" xr:uid="{00000000-0005-0000-0000-000060000000}"/>
    <cellStyle name="m3" xfId="97" xr:uid="{00000000-0005-0000-0000-000061000000}"/>
    <cellStyle name="Milliers" xfId="152" builtinId="3"/>
    <cellStyle name="Niels" xfId="98" xr:uid="{00000000-0005-0000-0000-000062000000}"/>
    <cellStyle name="NielsProz" xfId="99" xr:uid="{00000000-0005-0000-0000-000063000000}"/>
    <cellStyle name="NielsProzent" xfId="100" xr:uid="{00000000-0005-0000-0000-000064000000}"/>
    <cellStyle name="Normal" xfId="0" builtinId="0"/>
    <cellStyle name="Normal 2" xfId="153" xr:uid="{A92189FE-7334-4BC7-9290-7779C157724D}"/>
    <cellStyle name="Normal 3" xfId="154" xr:uid="{E010EA56-4DF3-4A90-99D9-04CD256139C6}"/>
    <cellStyle name="Normal 4" xfId="155" xr:uid="{5B51CBA1-80B3-4016-8EF6-7B0E9B4CE119}"/>
    <cellStyle name="Normal GHG Numbers (0.00)" xfId="101" xr:uid="{00000000-0005-0000-0000-000065000000}"/>
    <cellStyle name="Normal GHG Numbers (0.00) 2" xfId="142" xr:uid="{02F83879-5A1D-4A0A-883B-DE341FC8941A}"/>
    <cellStyle name="Normal GHG Textfiels Bold" xfId="102" xr:uid="{00000000-0005-0000-0000-000066000000}"/>
    <cellStyle name="Normal GHG Textfiels Bold 2" xfId="143" xr:uid="{0F23BE44-D13E-4085-88BD-111565B51CFF}"/>
    <cellStyle name="Normal GHG whole table" xfId="103" xr:uid="{00000000-0005-0000-0000-000067000000}"/>
    <cellStyle name="Normal GHG whole table 2" xfId="144" xr:uid="{CA534947-B776-4999-8F47-540D6505E19B}"/>
    <cellStyle name="NormalTabelle" xfId="104" xr:uid="{00000000-0005-0000-0000-000069000000}"/>
    <cellStyle name="Pourcentage" xfId="134" builtinId="5"/>
    <cellStyle name="Prozent 2" xfId="105" xr:uid="{00000000-0005-0000-0000-00006A000000}"/>
    <cellStyle name="Prozent 3" xfId="106" xr:uid="{00000000-0005-0000-0000-00006B000000}"/>
    <cellStyle name="Prozent 3 2" xfId="145" xr:uid="{D68555C6-DFD0-4C7A-8712-DFED4CE54C77}"/>
    <cellStyle name="Prozent 4" xfId="107" xr:uid="{00000000-0005-0000-0000-00006C000000}"/>
    <cellStyle name="Prozent 4 2" xfId="146" xr:uid="{8433D7A1-FC3B-4557-ADB6-B27F332EDA62}"/>
    <cellStyle name="prozent+" xfId="108" xr:uid="{00000000-0005-0000-0000-00006D000000}"/>
    <cellStyle name="Prüfung" xfId="109" xr:uid="{00000000-0005-0000-0000-00006E000000}"/>
    <cellStyle name="Scientific" xfId="110" xr:uid="{00000000-0005-0000-0000-00006F000000}"/>
    <cellStyle name="Stand. 2" xfId="66" xr:uid="{00000000-0005-0000-0000-000070000000}"/>
    <cellStyle name="Standard 2" xfId="111" xr:uid="{00000000-0005-0000-0000-000072000000}"/>
    <cellStyle name="Standard 2 2" xfId="65" xr:uid="{00000000-0005-0000-0000-000073000000}"/>
    <cellStyle name="Standard 2 3" xfId="112" xr:uid="{00000000-0005-0000-0000-000074000000}"/>
    <cellStyle name="Standard 3" xfId="113" xr:uid="{00000000-0005-0000-0000-000075000000}"/>
    <cellStyle name="Standard 4" xfId="114" xr:uid="{00000000-0005-0000-0000-000076000000}"/>
    <cellStyle name="Standard 4 2" xfId="147" xr:uid="{CD23E0FA-0F20-4714-BE3D-7D0189694D54}"/>
    <cellStyle name="Standard 5" xfId="115" xr:uid="{00000000-0005-0000-0000-000077000000}"/>
    <cellStyle name="Standard 5 2" xfId="148" xr:uid="{C2A2B349-973B-42EE-B70F-54D5F3BDF704}"/>
    <cellStyle name="Standard 6" xfId="116" xr:uid="{00000000-0005-0000-0000-000078000000}"/>
    <cellStyle name="Standard 6 2" xfId="149" xr:uid="{AECDFC29-E6A4-4F63-8B68-1D8BE8FE5CD3}"/>
    <cellStyle name="Standard 7" xfId="117" xr:uid="{00000000-0005-0000-0000-000079000000}"/>
    <cellStyle name="Standard 7 2" xfId="150" xr:uid="{9D1BF7EF-F4AD-4346-863F-94632B0A8AC9}"/>
    <cellStyle name="Standard 8" xfId="118" xr:uid="{00000000-0005-0000-0000-00007A000000}"/>
    <cellStyle name="text" xfId="119" xr:uid="{00000000-0005-0000-0000-00007B000000}"/>
    <cellStyle name="Text-Manual" xfId="120" xr:uid="{00000000-0005-0000-0000-00007C000000}"/>
    <cellStyle name="Title" xfId="121" xr:uid="{00000000-0005-0000-0000-00007D000000}"/>
    <cellStyle name="unit" xfId="122" xr:uid="{00000000-0005-0000-0000-00007E000000}"/>
    <cellStyle name="Wasser" xfId="123" xr:uid="{00000000-0005-0000-0000-00007F000000}"/>
    <cellStyle name="Wasseremission" xfId="124" xr:uid="{00000000-0005-0000-0000-000080000000}"/>
    <cellStyle name="wis" xfId="125" xr:uid="{00000000-0005-0000-0000-000081000000}"/>
    <cellStyle name="wissenschaft" xfId="126" xr:uid="{00000000-0005-0000-0000-000082000000}"/>
    <cellStyle name="wissenschaft+" xfId="129" xr:uid="{00000000-0005-0000-0000-000085000000}"/>
    <cellStyle name="wissenschaft-Eingabe" xfId="127" xr:uid="{00000000-0005-0000-0000-000083000000}"/>
    <cellStyle name="wissenschaft-Eingabe 2" xfId="128" xr:uid="{00000000-0005-0000-0000-000084000000}"/>
    <cellStyle name="zkh" xfId="130" xr:uid="{00000000-0005-0000-0000-000086000000}"/>
  </cellStyles>
  <dxfs count="326">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206" formatCode="#,##0.000"/>
    </dxf>
    <dxf>
      <numFmt numFmtId="4" formatCode="#,##0.00"/>
    </dxf>
    <dxf>
      <numFmt numFmtId="165" formatCode="0.0"/>
    </dxf>
    <dxf>
      <font>
        <color theme="0" tint="-0.24994659260841701"/>
      </font>
      <numFmt numFmtId="1" formatCode="0"/>
      <fill>
        <patternFill>
          <bgColor theme="0" tint="-0.24994659260841701"/>
        </patternFill>
      </fill>
    </dxf>
    <dxf>
      <numFmt numFmtId="3" formatCode="#,##0"/>
    </dxf>
    <dxf>
      <numFmt numFmtId="3"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1"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3" formatCode="#,##0"/>
    </dxf>
    <dxf>
      <numFmt numFmtId="206" formatCode="#,##0.000"/>
    </dxf>
    <dxf>
      <numFmt numFmtId="4" formatCode="#,##0.00"/>
    </dxf>
    <dxf>
      <numFmt numFmtId="167"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numFmt numFmtId="166" formatCode="0.000"/>
    </dxf>
    <dxf>
      <numFmt numFmtId="2" formatCode="0.00"/>
    </dxf>
    <dxf>
      <numFmt numFmtId="165" formatCode="0.0"/>
    </dxf>
    <dxf>
      <numFmt numFmtId="3" formatCode="#,##0"/>
    </dxf>
    <dxf>
      <numFmt numFmtId="1" formatCode="0"/>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border>
    </dxf>
    <dxf>
      <font>
        <color theme="0"/>
      </font>
      <fill>
        <patternFill>
          <bgColor theme="0"/>
        </patternFill>
      </fill>
      <border>
        <left/>
        <right/>
        <top style="thin">
          <color auto="1"/>
        </top>
        <bottom/>
      </border>
    </dxf>
    <dxf>
      <font>
        <color theme="1"/>
      </font>
      <fill>
        <patternFill>
          <bgColor theme="9" tint="0.59996337778862885"/>
        </patternFill>
      </fill>
    </dxf>
    <dxf>
      <font>
        <color theme="1"/>
      </font>
      <fill>
        <patternFill>
          <fgColor auto="1"/>
          <bgColor theme="0"/>
        </patternFill>
      </fill>
    </dxf>
    <dxf>
      <font>
        <color theme="1"/>
      </font>
      <fill>
        <patternFill>
          <bgColor theme="0"/>
        </patternFill>
      </fill>
    </dxf>
    <dxf>
      <font>
        <color theme="1" tint="0.499984740745262"/>
      </font>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F5050"/>
      <color rgb="FFCCECFF"/>
      <color rgb="FFFF7C80"/>
      <color rgb="FF0000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microsoft.com/office/2017/10/relationships/person" Target="persons/perso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800" b="1" i="0" baseline="0">
                <a:solidFill>
                  <a:schemeClr val="tx1"/>
                </a:solidFill>
                <a:effectLst/>
              </a:rPr>
              <a:t>Impact carbone sur les différentes phases </a:t>
            </a:r>
            <a:endParaRPr lang="fr-CH">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6341237605069968E-2"/>
          <c:y val="9.1713330530175358E-2"/>
          <c:w val="0.88786775684956587"/>
          <c:h val="0.75693123359580061"/>
        </c:manualLayout>
      </c:layout>
      <c:barChart>
        <c:barDir val="col"/>
        <c:grouping val="stacked"/>
        <c:varyColors val="0"/>
        <c:ser>
          <c:idx val="0"/>
          <c:order val="0"/>
          <c:tx>
            <c:strRef>
              <c:f>Graphes_Background!$A$60:$B$60</c:f>
              <c:strCache>
                <c:ptCount val="2"/>
                <c:pt idx="0">
                  <c:v>Travaux préparatoires B06 / B07.02</c:v>
                </c:pt>
                <c:pt idx="1">
                  <c:v>18</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Graphes_Background!$C$59:$G$59</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Graphes_Background!$C$60:$G$60</c:f>
              <c:numCache>
                <c:formatCode>0;\-0;;@</c:formatCode>
                <c:ptCount val="5"/>
                <c:pt idx="0">
                  <c:v>18.349318559466511</c:v>
                </c:pt>
                <c:pt idx="1">
                  <c:v>0</c:v>
                </c:pt>
                <c:pt idx="2">
                  <c:v>0</c:v>
                </c:pt>
                <c:pt idx="3">
                  <c:v>0</c:v>
                </c:pt>
                <c:pt idx="4">
                  <c:v>0</c:v>
                </c:pt>
              </c:numCache>
            </c:numRef>
          </c:val>
          <c:extLst>
            <c:ext xmlns:c16="http://schemas.microsoft.com/office/drawing/2014/chart" uri="{C3380CC4-5D6E-409C-BE32-E72D297353CC}">
              <c16:uniqueId val="{00000000-3F4A-44DA-A54A-FA63F2D2C782}"/>
            </c:ext>
          </c:extLst>
        </c:ser>
        <c:ser>
          <c:idx val="1"/>
          <c:order val="1"/>
          <c:tx>
            <c:strRef>
              <c:f>Graphes_Background!$A$61:$B$61</c:f>
              <c:strCache>
                <c:ptCount val="2"/>
                <c:pt idx="0">
                  <c:v>Enveloppe du bâtiment souterraine C01 / 02 / 04 - E01 - F01</c:v>
                </c:pt>
                <c:pt idx="1">
                  <c:v>159</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Graphes_Background!$C$59:$G$59</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Graphes_Background!$C$61:$G$61</c:f>
              <c:numCache>
                <c:formatCode>0;\-0;;@</c:formatCode>
                <c:ptCount val="5"/>
                <c:pt idx="0">
                  <c:v>138.80723118895966</c:v>
                </c:pt>
                <c:pt idx="1">
                  <c:v>0</c:v>
                </c:pt>
                <c:pt idx="2">
                  <c:v>0</c:v>
                </c:pt>
                <c:pt idx="3">
                  <c:v>0</c:v>
                </c:pt>
                <c:pt idx="4">
                  <c:v>20.033311821656049</c:v>
                </c:pt>
              </c:numCache>
            </c:numRef>
          </c:val>
          <c:extLst>
            <c:ext xmlns:c16="http://schemas.microsoft.com/office/drawing/2014/chart" uri="{C3380CC4-5D6E-409C-BE32-E72D297353CC}">
              <c16:uniqueId val="{00000001-3F4A-44DA-A54A-FA63F2D2C782}"/>
            </c:ext>
          </c:extLst>
        </c:ser>
        <c:ser>
          <c:idx val="4"/>
          <c:order val="2"/>
          <c:tx>
            <c:strRef>
              <c:f>Graphes_Background!$A$64:$B$64</c:f>
              <c:strCache>
                <c:ptCount val="2"/>
                <c:pt idx="0">
                  <c:v>Enveloppe du bâtiment hors terrain C02 / 04 - E02 / 03 - F01 / 02</c:v>
                </c:pt>
                <c:pt idx="1">
                  <c:v>199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Graphes_Background!$C$59:$G$59</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Graphes_Background!$C$64:$G$64</c:f>
              <c:numCache>
                <c:formatCode>0;\-0;;@</c:formatCode>
                <c:ptCount val="5"/>
                <c:pt idx="0">
                  <c:v>96.48938083269212</c:v>
                </c:pt>
                <c:pt idx="1">
                  <c:v>0</c:v>
                </c:pt>
                <c:pt idx="2">
                  <c:v>38.602935000000002</c:v>
                </c:pt>
                <c:pt idx="3">
                  <c:v>50.763394144380285</c:v>
                </c:pt>
                <c:pt idx="4">
                  <c:v>12.869057311688184</c:v>
                </c:pt>
              </c:numCache>
            </c:numRef>
          </c:val>
          <c:extLst>
            <c:ext xmlns:c16="http://schemas.microsoft.com/office/drawing/2014/chart" uri="{C3380CC4-5D6E-409C-BE32-E72D297353CC}">
              <c16:uniqueId val="{00000002-3F4A-44DA-A54A-FA63F2D2C782}"/>
            </c:ext>
          </c:extLst>
        </c:ser>
        <c:ser>
          <c:idx val="9"/>
          <c:order val="3"/>
          <c:tx>
            <c:strRef>
              <c:f>Graphes_Background!$A$69:$B$69</c:f>
              <c:strCache>
                <c:ptCount val="2"/>
                <c:pt idx="0">
                  <c:v>Eléments de construction intérieurs et extérieurs C02 / 04 - G02 / 03 / 04</c:v>
                </c:pt>
                <c:pt idx="1">
                  <c:v>271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Graphes_Background!$C$59:$G$59</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Graphes_Background!$C$69:$G$69</c:f>
              <c:numCache>
                <c:formatCode>0;\-0;;@</c:formatCode>
                <c:ptCount val="5"/>
                <c:pt idx="0">
                  <c:v>160.85658291942676</c:v>
                </c:pt>
                <c:pt idx="1">
                  <c:v>0</c:v>
                </c:pt>
                <c:pt idx="2">
                  <c:v>89.84397068860001</c:v>
                </c:pt>
                <c:pt idx="3">
                  <c:v>2.3746209999999999</c:v>
                </c:pt>
                <c:pt idx="4">
                  <c:v>18.197976960685988</c:v>
                </c:pt>
              </c:numCache>
            </c:numRef>
          </c:val>
          <c:extLst>
            <c:ext xmlns:c16="http://schemas.microsoft.com/office/drawing/2014/chart" uri="{C3380CC4-5D6E-409C-BE32-E72D297353CC}">
              <c16:uniqueId val="{00000003-3F4A-44DA-A54A-FA63F2D2C782}"/>
            </c:ext>
          </c:extLst>
        </c:ser>
        <c:ser>
          <c:idx val="17"/>
          <c:order val="4"/>
          <c:tx>
            <c:strRef>
              <c:f>Graphes_Background!$A$77:$B$77</c:f>
              <c:strCache>
                <c:ptCount val="2"/>
                <c:pt idx="0">
                  <c:v>Installations CVSE D01 / 05 / 07 / 08 / 12</c:v>
                </c:pt>
                <c:pt idx="1">
                  <c:v>132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Graphes_Background!$C$59:$G$59</c:f>
              <c:strCache>
                <c:ptCount val="5"/>
                <c:pt idx="0">
                  <c:v>Budget "upfront" (fin de chantier)</c:v>
                </c:pt>
                <c:pt idx="1">
                  <c:v>Impact remplacements (20 ans)</c:v>
                </c:pt>
                <c:pt idx="2">
                  <c:v>Impact remplacements (30 ans)</c:v>
                </c:pt>
                <c:pt idx="3">
                  <c:v>Impact remplacements (40 ans)</c:v>
                </c:pt>
                <c:pt idx="4">
                  <c:v>Impact fin de vie (60ans)</c:v>
                </c:pt>
              </c:strCache>
            </c:strRef>
          </c:cat>
          <c:val>
            <c:numRef>
              <c:f>Graphes_Background!$C$77:$G$77</c:f>
              <c:numCache>
                <c:formatCode>0;\-0;;@</c:formatCode>
                <c:ptCount val="5"/>
                <c:pt idx="0">
                  <c:v>56.351171874999999</c:v>
                </c:pt>
                <c:pt idx="1">
                  <c:v>0.11925982473438507</c:v>
                </c:pt>
                <c:pt idx="2">
                  <c:v>54.707999999999998</c:v>
                </c:pt>
                <c:pt idx="3">
                  <c:v>11.022384824734385</c:v>
                </c:pt>
                <c:pt idx="4">
                  <c:v>9.3792129497343844</c:v>
                </c:pt>
              </c:numCache>
            </c:numRef>
          </c:val>
          <c:extLst>
            <c:ext xmlns:c16="http://schemas.microsoft.com/office/drawing/2014/chart" uri="{C3380CC4-5D6E-409C-BE32-E72D297353CC}">
              <c16:uniqueId val="{00000004-3F4A-44DA-A54A-FA63F2D2C782}"/>
            </c:ext>
          </c:extLst>
        </c:ser>
        <c:dLbls>
          <c:showLegendKey val="0"/>
          <c:showVal val="0"/>
          <c:showCatName val="0"/>
          <c:showSerName val="0"/>
          <c:showPercent val="0"/>
          <c:showBubbleSize val="0"/>
        </c:dLbls>
        <c:gapWidth val="30"/>
        <c:overlap val="100"/>
        <c:axId val="1782426815"/>
        <c:axId val="1782415999"/>
      </c:barChart>
      <c:scatterChart>
        <c:scatterStyle val="lineMarker"/>
        <c:varyColors val="0"/>
        <c:ser>
          <c:idx val="21"/>
          <c:order val="5"/>
          <c:tx>
            <c:strRef>
              <c:f>Graphes_Background!$A$81:$B$81</c:f>
              <c:strCache>
                <c:ptCount val="2"/>
                <c:pt idx="0">
                  <c:v>Objectif</c:v>
                </c:pt>
              </c:strCache>
            </c:strRef>
          </c:tx>
          <c:spPr>
            <a:ln w="25400" cap="rnd">
              <a:noFill/>
              <a:round/>
            </a:ln>
            <a:effectLst/>
          </c:spPr>
          <c:marker>
            <c:symbol val="dash"/>
            <c:size val="11"/>
            <c:spPr>
              <a:solidFill>
                <a:srgbClr val="FF0000"/>
              </a:solidFill>
              <a:ln w="9525">
                <a:noFill/>
              </a:ln>
              <a:effectLst/>
            </c:spPr>
          </c:marker>
          <c:xVal>
            <c:strRef>
              <c:f>Graphes_Background!$C$59:$G$59</c:f>
              <c:strCache>
                <c:ptCount val="5"/>
                <c:pt idx="0">
                  <c:v>Budget "upfront" (fin de chantier)</c:v>
                </c:pt>
                <c:pt idx="1">
                  <c:v>Impact remplacements (20 ans)</c:v>
                </c:pt>
                <c:pt idx="2">
                  <c:v>Impact remplacements (30 ans)</c:v>
                </c:pt>
                <c:pt idx="3">
                  <c:v>Impact remplacements (40 ans)</c:v>
                </c:pt>
                <c:pt idx="4">
                  <c:v>Impact fin de vie (60ans)</c:v>
                </c:pt>
              </c:strCache>
            </c:strRef>
          </c:xVal>
          <c:yVal>
            <c:numRef>
              <c:f>Graphes_Background!$C$81:$G$81</c:f>
              <c:numCache>
                <c:formatCode>0;\-0;;@</c:formatCode>
                <c:ptCount val="5"/>
                <c:pt idx="0">
                  <c:v>500.09781828949548</c:v>
                </c:pt>
                <c:pt idx="1">
                  <c:v>17.571004426387681</c:v>
                </c:pt>
                <c:pt idx="2">
                  <c:v>122.99703098471375</c:v>
                </c:pt>
                <c:pt idx="3">
                  <c:v>35.142008852775362</c:v>
                </c:pt>
                <c:pt idx="4">
                  <c:v>84.47764187324826</c:v>
                </c:pt>
              </c:numCache>
            </c:numRef>
          </c:yVal>
          <c:smooth val="0"/>
          <c:extLst>
            <c:ext xmlns:c16="http://schemas.microsoft.com/office/drawing/2014/chart" uri="{C3380CC4-5D6E-409C-BE32-E72D297353CC}">
              <c16:uniqueId val="{00000005-3F4A-44DA-A54A-FA63F2D2C782}"/>
            </c:ext>
          </c:extLst>
        </c:ser>
        <c:dLbls>
          <c:showLegendKey val="0"/>
          <c:showVal val="0"/>
          <c:showCatName val="0"/>
          <c:showSerName val="0"/>
          <c:showPercent val="0"/>
          <c:showBubbleSize val="0"/>
        </c:dLbls>
        <c:axId val="1782426815"/>
        <c:axId val="1782415999"/>
      </c:scatterChart>
      <c:catAx>
        <c:axId val="1782426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2415999"/>
        <c:crosses val="autoZero"/>
        <c:auto val="1"/>
        <c:lblAlgn val="ctr"/>
        <c:lblOffset val="100"/>
        <c:noMultiLvlLbl val="0"/>
      </c:catAx>
      <c:valAx>
        <c:axId val="1782415999"/>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endParaRPr lang="fr-CH"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2426815"/>
        <c:crosses val="autoZero"/>
        <c:crossBetween val="between"/>
        <c:majorUnit val="50"/>
      </c:valAx>
      <c:spPr>
        <a:noFill/>
        <a:ln>
          <a:noFill/>
        </a:ln>
        <a:effectLst/>
      </c:spPr>
    </c:plotArea>
    <c:legend>
      <c:legendPos val="r"/>
      <c:layout>
        <c:manualLayout>
          <c:xMode val="edge"/>
          <c:yMode val="edge"/>
          <c:x val="0.45906778127889381"/>
          <c:y val="0.10885933394678207"/>
          <c:w val="0.53569863106654891"/>
          <c:h val="0.264318517242945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Impact carbone sur toute la durée de vie selon la classification ECCC </a:t>
            </a:r>
            <a:endParaRPr lang="fr-CH">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Graphes_Background!$U$37</c:f>
              <c:strCache>
                <c:ptCount val="1"/>
                <c:pt idx="0">
                  <c:v>Travaux préparatoires B06 / B07.02</c:v>
                </c:pt>
              </c:strCache>
            </c:strRef>
          </c:tx>
          <c:spPr>
            <a:solidFill>
              <a:schemeClr val="accent1"/>
            </a:solidFill>
            <a:ln>
              <a:noFill/>
            </a:ln>
            <a:effectLst/>
          </c:spPr>
          <c:invertIfNegative val="0"/>
          <c:cat>
            <c:strRef>
              <c:extLst>
                <c:ext xmlns:c15="http://schemas.microsoft.com/office/drawing/2012/chart" uri="{02D57815-91ED-43cb-92C2-25804820EDAC}">
                  <c15:fullRef>
                    <c15:sqref>Graphes_Background!$S$38:$S$58</c15:sqref>
                  </c15:fullRef>
                </c:ext>
              </c:extLst>
              <c:f>Graphes_Background!$S$38:$S$56</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Couvertures</c:v>
                </c:pt>
                <c:pt idx="8">
                  <c:v>Installations techniques de chauffage</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Graphes_Background!$U$38:$U$58</c15:sqref>
                  </c15:fullRef>
                </c:ext>
              </c:extLst>
              <c:f>Graphes_Background!$U$38:$U$56</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18.349318559466511</c:v>
                </c:pt>
                <c:pt idx="14">
                  <c:v>0</c:v>
                </c:pt>
                <c:pt idx="15">
                  <c:v>0</c:v>
                </c:pt>
                <c:pt idx="16">
                  <c:v>0</c:v>
                </c:pt>
                <c:pt idx="17">
                  <c:v>0</c:v>
                </c:pt>
                <c:pt idx="18">
                  <c:v>0</c:v>
                </c:pt>
              </c:numCache>
            </c:numRef>
          </c:val>
          <c:extLst>
            <c:ext xmlns:c16="http://schemas.microsoft.com/office/drawing/2014/chart" uri="{C3380CC4-5D6E-409C-BE32-E72D297353CC}">
              <c16:uniqueId val="{00000000-A287-457C-A5F5-53D4B6F2DF88}"/>
            </c:ext>
          </c:extLst>
        </c:ser>
        <c:ser>
          <c:idx val="1"/>
          <c:order val="1"/>
          <c:tx>
            <c:strRef>
              <c:f>Graphes_Background!$V$37</c:f>
              <c:strCache>
                <c:ptCount val="1"/>
                <c:pt idx="0">
                  <c:v>Enveloppe du bâtiment souterraine C01 / 02 / 04 - E01 - F01</c:v>
                </c:pt>
              </c:strCache>
            </c:strRef>
          </c:tx>
          <c:spPr>
            <a:solidFill>
              <a:schemeClr val="accent2"/>
            </a:solidFill>
            <a:ln>
              <a:noFill/>
            </a:ln>
            <a:effectLst/>
          </c:spPr>
          <c:invertIfNegative val="0"/>
          <c:cat>
            <c:strRef>
              <c:extLst>
                <c:ext xmlns:c15="http://schemas.microsoft.com/office/drawing/2012/chart" uri="{02D57815-91ED-43cb-92C2-25804820EDAC}">
                  <c15:fullRef>
                    <c15:sqref>Graphes_Background!$S$38:$S$58</c15:sqref>
                  </c15:fullRef>
                </c:ext>
              </c:extLst>
              <c:f>Graphes_Background!$S$38:$S$56</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Couvertures</c:v>
                </c:pt>
                <c:pt idx="8">
                  <c:v>Installations techniques de chauffage</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Graphes_Background!$V$38:$V$58</c15:sqref>
                  </c15:fullRef>
                </c:ext>
              </c:extLst>
              <c:f>Graphes_Background!$V$38:$V$56</c:f>
              <c:numCache>
                <c:formatCode>0;\-0;;@</c:formatCode>
                <c:ptCount val="19"/>
                <c:pt idx="0">
                  <c:v>85.956059978768579</c:v>
                </c:pt>
                <c:pt idx="1">
                  <c:v>0</c:v>
                </c:pt>
                <c:pt idx="2">
                  <c:v>0</c:v>
                </c:pt>
                <c:pt idx="3">
                  <c:v>0</c:v>
                </c:pt>
                <c:pt idx="4">
                  <c:v>72.884483031847125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A287-457C-A5F5-53D4B6F2DF88}"/>
            </c:ext>
          </c:extLst>
        </c:ser>
        <c:ser>
          <c:idx val="2"/>
          <c:order val="2"/>
          <c:tx>
            <c:strRef>
              <c:f>Graphes_Background!$W$37</c:f>
              <c:strCache>
                <c:ptCount val="1"/>
                <c:pt idx="0">
                  <c:v>Enveloppe du bâtiment hors terrain C02 / 04 - E02 / 03 - F01 / 02</c:v>
                </c:pt>
              </c:strCache>
            </c:strRef>
          </c:tx>
          <c:spPr>
            <a:solidFill>
              <a:schemeClr val="accent3"/>
            </a:solidFill>
            <a:ln>
              <a:noFill/>
            </a:ln>
            <a:effectLst/>
          </c:spPr>
          <c:invertIfNegative val="0"/>
          <c:cat>
            <c:strRef>
              <c:extLst>
                <c:ext xmlns:c15="http://schemas.microsoft.com/office/drawing/2012/chart" uri="{02D57815-91ED-43cb-92C2-25804820EDAC}">
                  <c15:fullRef>
                    <c15:sqref>Graphes_Background!$S$38:$S$58</c15:sqref>
                  </c15:fullRef>
                </c:ext>
              </c:extLst>
              <c:f>Graphes_Background!$S$38:$S$56</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Couvertures</c:v>
                </c:pt>
                <c:pt idx="8">
                  <c:v>Installations techniques de chauffage</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Graphes_Background!$W$38:$W$58</c15:sqref>
                  </c15:fullRef>
                </c:ext>
              </c:extLst>
              <c:f>Graphes_Background!$W$38:$W$56</c:f>
              <c:numCache>
                <c:formatCode>0;\-0;;@</c:formatCode>
                <c:ptCount val="19"/>
                <c:pt idx="0">
                  <c:v>0</c:v>
                </c:pt>
                <c:pt idx="1">
                  <c:v>0</c:v>
                </c:pt>
                <c:pt idx="2">
                  <c:v>0</c:v>
                </c:pt>
                <c:pt idx="3">
                  <c:v>77.20586999999999</c:v>
                </c:pt>
                <c:pt idx="4">
                  <c:v>0</c:v>
                </c:pt>
                <c:pt idx="5">
                  <c:v>0</c:v>
                </c:pt>
                <c:pt idx="6">
                  <c:v>52.09637978824</c:v>
                </c:pt>
                <c:pt idx="7">
                  <c:v>49.430408500520571</c:v>
                </c:pt>
                <c:pt idx="8">
                  <c:v>0</c:v>
                </c:pt>
                <c:pt idx="9">
                  <c:v>0</c:v>
                </c:pt>
                <c:pt idx="10">
                  <c:v>0</c:v>
                </c:pt>
                <c:pt idx="11">
                  <c:v>0</c:v>
                </c:pt>
                <c:pt idx="12">
                  <c:v>0</c:v>
                </c:pt>
                <c:pt idx="13">
                  <c:v>0</c:v>
                </c:pt>
                <c:pt idx="14">
                  <c:v>11.456885</c:v>
                </c:pt>
                <c:pt idx="15">
                  <c:v>0</c:v>
                </c:pt>
                <c:pt idx="16">
                  <c:v>8.5352239999999995</c:v>
                </c:pt>
                <c:pt idx="17">
                  <c:v>0</c:v>
                </c:pt>
                <c:pt idx="18">
                  <c:v>0</c:v>
                </c:pt>
              </c:numCache>
            </c:numRef>
          </c:val>
          <c:extLst>
            <c:ext xmlns:c16="http://schemas.microsoft.com/office/drawing/2014/chart" uri="{C3380CC4-5D6E-409C-BE32-E72D297353CC}">
              <c16:uniqueId val="{00000002-A287-457C-A5F5-53D4B6F2DF88}"/>
            </c:ext>
          </c:extLst>
        </c:ser>
        <c:ser>
          <c:idx val="3"/>
          <c:order val="3"/>
          <c:tx>
            <c:strRef>
              <c:f>Graphes_Background!$X$37</c:f>
              <c:strCache>
                <c:ptCount val="1"/>
                <c:pt idx="0">
                  <c:v>Eléments de construction intérieurs et extérieurs C02 / 04 - G02 / 03 / 04</c:v>
                </c:pt>
              </c:strCache>
            </c:strRef>
          </c:tx>
          <c:spPr>
            <a:solidFill>
              <a:schemeClr val="accent4"/>
            </a:solidFill>
            <a:ln>
              <a:noFill/>
            </a:ln>
            <a:effectLst/>
          </c:spPr>
          <c:invertIfNegative val="0"/>
          <c:cat>
            <c:strRef>
              <c:extLst>
                <c:ext xmlns:c15="http://schemas.microsoft.com/office/drawing/2012/chart" uri="{02D57815-91ED-43cb-92C2-25804820EDAC}">
                  <c15:fullRef>
                    <c15:sqref>Graphes_Background!$S$38:$S$58</c15:sqref>
                  </c15:fullRef>
                </c:ext>
              </c:extLst>
              <c:f>Graphes_Background!$S$38:$S$56</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Couvertures</c:v>
                </c:pt>
                <c:pt idx="8">
                  <c:v>Installations techniques de chauffage</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Graphes_Background!$X$38:$X$58</c15:sqref>
                  </c15:fullRef>
                </c:ext>
              </c:extLst>
              <c:f>Graphes_Background!$X$38:$X$56</c:f>
              <c:numCache>
                <c:formatCode>0;\-0;;@</c:formatCode>
                <c:ptCount val="19"/>
                <c:pt idx="0">
                  <c:v>0</c:v>
                </c:pt>
                <c:pt idx="1">
                  <c:v>80.094399999999993</c:v>
                </c:pt>
                <c:pt idx="2">
                  <c:v>78.04806550661084</c:v>
                </c:pt>
                <c:pt idx="3">
                  <c:v>0</c:v>
                </c:pt>
                <c:pt idx="4">
                  <c:v>0</c:v>
                </c:pt>
                <c:pt idx="5">
                  <c:v>67.131933750000002</c:v>
                </c:pt>
                <c:pt idx="6">
                  <c:v>0</c:v>
                </c:pt>
                <c:pt idx="7">
                  <c:v>0</c:v>
                </c:pt>
                <c:pt idx="8">
                  <c:v>0</c:v>
                </c:pt>
                <c:pt idx="9">
                  <c:v>0</c:v>
                </c:pt>
                <c:pt idx="10">
                  <c:v>31.167673312101911</c:v>
                </c:pt>
                <c:pt idx="11">
                  <c:v>0</c:v>
                </c:pt>
                <c:pt idx="12">
                  <c:v>0</c:v>
                </c:pt>
                <c:pt idx="13">
                  <c:v>0</c:v>
                </c:pt>
                <c:pt idx="14">
                  <c:v>0</c:v>
                </c:pt>
                <c:pt idx="15">
                  <c:v>10.081837</c:v>
                </c:pt>
                <c:pt idx="16">
                  <c:v>0</c:v>
                </c:pt>
                <c:pt idx="17">
                  <c:v>4.7492419999999997</c:v>
                </c:pt>
                <c:pt idx="18">
                  <c:v>0</c:v>
                </c:pt>
              </c:numCache>
            </c:numRef>
          </c:val>
          <c:extLst>
            <c:ext xmlns:c16="http://schemas.microsoft.com/office/drawing/2014/chart" uri="{C3380CC4-5D6E-409C-BE32-E72D297353CC}">
              <c16:uniqueId val="{00000003-A287-457C-A5F5-53D4B6F2DF88}"/>
            </c:ext>
          </c:extLst>
        </c:ser>
        <c:ser>
          <c:idx val="4"/>
          <c:order val="4"/>
          <c:tx>
            <c:strRef>
              <c:f>Graphes_Background!$Y$37</c:f>
              <c:strCache>
                <c:ptCount val="1"/>
                <c:pt idx="0">
                  <c:v>Installations CVSE D01 / 05 / 07 / 08 / 12</c:v>
                </c:pt>
              </c:strCache>
            </c:strRef>
          </c:tx>
          <c:spPr>
            <a:solidFill>
              <a:schemeClr val="accent5"/>
            </a:solidFill>
            <a:ln>
              <a:noFill/>
            </a:ln>
            <a:effectLst/>
          </c:spPr>
          <c:invertIfNegative val="0"/>
          <c:cat>
            <c:strRef>
              <c:extLst>
                <c:ext xmlns:c15="http://schemas.microsoft.com/office/drawing/2012/chart" uri="{02D57815-91ED-43cb-92C2-25804820EDAC}">
                  <c15:fullRef>
                    <c15:sqref>Graphes_Background!$S$38:$S$58</c15:sqref>
                  </c15:fullRef>
                </c:ext>
              </c:extLst>
              <c:f>Graphes_Background!$S$38:$S$56</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Couvertures</c:v>
                </c:pt>
                <c:pt idx="8">
                  <c:v>Installations techniques de chauffage</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Graphes_Background!$Y$38:$Y$58</c15:sqref>
                  </c15:fullRef>
                </c:ext>
              </c:extLst>
              <c:f>Graphes_Background!$Y$38:$Y$56</c:f>
              <c:numCache>
                <c:formatCode>0;\-0;;@</c:formatCode>
                <c:ptCount val="19"/>
                <c:pt idx="0">
                  <c:v>0</c:v>
                </c:pt>
                <c:pt idx="1">
                  <c:v>0</c:v>
                </c:pt>
                <c:pt idx="2">
                  <c:v>0</c:v>
                </c:pt>
                <c:pt idx="3">
                  <c:v>0</c:v>
                </c:pt>
                <c:pt idx="4">
                  <c:v>0</c:v>
                </c:pt>
                <c:pt idx="5">
                  <c:v>0</c:v>
                </c:pt>
                <c:pt idx="6">
                  <c:v>0</c:v>
                </c:pt>
                <c:pt idx="7">
                  <c:v>0</c:v>
                </c:pt>
                <c:pt idx="8">
                  <c:v>43.414029474203161</c:v>
                </c:pt>
                <c:pt idx="9">
                  <c:v>37.165999999999997</c:v>
                </c:pt>
                <c:pt idx="10">
                  <c:v>0</c:v>
                </c:pt>
                <c:pt idx="11">
                  <c:v>25.92</c:v>
                </c:pt>
                <c:pt idx="12">
                  <c:v>25.08</c:v>
                </c:pt>
                <c:pt idx="13">
                  <c:v>0</c:v>
                </c:pt>
                <c:pt idx="14">
                  <c:v>0</c:v>
                </c:pt>
                <c:pt idx="15">
                  <c:v>0</c:v>
                </c:pt>
                <c:pt idx="16">
                  <c:v>0</c:v>
                </c:pt>
                <c:pt idx="17">
                  <c:v>0</c:v>
                </c:pt>
                <c:pt idx="18">
                  <c:v>0</c:v>
                </c:pt>
              </c:numCache>
            </c:numRef>
          </c:val>
          <c:extLst>
            <c:ext xmlns:c16="http://schemas.microsoft.com/office/drawing/2014/chart" uri="{C3380CC4-5D6E-409C-BE32-E72D297353CC}">
              <c16:uniqueId val="{00000004-A287-457C-A5F5-53D4B6F2DF88}"/>
            </c:ext>
          </c:extLst>
        </c:ser>
        <c:dLbls>
          <c:showLegendKey val="0"/>
          <c:showVal val="0"/>
          <c:showCatName val="0"/>
          <c:showSerName val="0"/>
          <c:showPercent val="0"/>
          <c:showBubbleSize val="0"/>
        </c:dLbls>
        <c:gapWidth val="20"/>
        <c:overlap val="100"/>
        <c:axId val="1143304927"/>
        <c:axId val="1143315327"/>
      </c:barChart>
      <c:lineChart>
        <c:grouping val="standard"/>
        <c:varyColors val="0"/>
        <c:ser>
          <c:idx val="5"/>
          <c:order val="5"/>
          <c:tx>
            <c:strRef>
              <c:f>Graphes_Background!$Z$37</c:f>
              <c:strCache>
                <c:ptCount val="1"/>
              </c:strCache>
            </c:strRef>
          </c:tx>
          <c:spPr>
            <a:ln w="19050" cap="rnd">
              <a:solidFill>
                <a:schemeClr val="tx1"/>
              </a:solidFill>
              <a:round/>
            </a:ln>
            <a:effectLst/>
          </c:spPr>
          <c:marker>
            <c:symbol val="none"/>
          </c:marker>
          <c:cat>
            <c:strRef>
              <c:extLst>
                <c:ext xmlns:c15="http://schemas.microsoft.com/office/drawing/2012/chart" uri="{02D57815-91ED-43cb-92C2-25804820EDAC}">
                  <c15:fullRef>
                    <c15:sqref>Graphes_Background!$S$38:$S$58</c15:sqref>
                  </c15:fullRef>
                </c:ext>
              </c:extLst>
              <c:f>Graphes_Background!$S$38:$S$56</c:f>
              <c:strCache>
                <c:ptCount val="19"/>
                <c:pt idx="0">
                  <c:v>Fondations, radiers</c:v>
                </c:pt>
                <c:pt idx="1">
                  <c:v>Revetements de sols</c:v>
                </c:pt>
                <c:pt idx="2">
                  <c:v>Parois intérieures</c:v>
                </c:pt>
                <c:pt idx="3">
                  <c:v>Fenetres et portes</c:v>
                </c:pt>
                <c:pt idx="4">
                  <c:v>Parois extérieures souterraines</c:v>
                </c:pt>
                <c:pt idx="5">
                  <c:v>Revêtement intérieurs parois</c:v>
                </c:pt>
                <c:pt idx="6">
                  <c:v>Revetements extérieurs de facades</c:v>
                </c:pt>
                <c:pt idx="7">
                  <c:v>Couvertures</c:v>
                </c:pt>
                <c:pt idx="8">
                  <c:v>Installations techniques de chauffage</c:v>
                </c:pt>
                <c:pt idx="9">
                  <c:v>Installations de ventilation et de conditionnement d'air</c:v>
                </c:pt>
                <c:pt idx="10">
                  <c:v>Planchers internes</c:v>
                </c:pt>
                <c:pt idx="11">
                  <c:v>Installations électriques</c:v>
                </c:pt>
                <c:pt idx="12">
                  <c:v>Installations techniques d'eau</c:v>
                </c:pt>
                <c:pt idx="13">
                  <c:v>Fouilles</c:v>
                </c:pt>
                <c:pt idx="14">
                  <c:v>Toitures (structure porteuse)</c:v>
                </c:pt>
                <c:pt idx="15">
                  <c:v>Revetements plafonds</c:v>
                </c:pt>
                <c:pt idx="16">
                  <c:v>Parois extérieures hors terrain</c:v>
                </c:pt>
                <c:pt idx="17">
                  <c:v>Balcons, avant-toits</c:v>
                </c:pt>
                <c:pt idx="18">
                  <c:v>Toitures souterraines</c:v>
                </c:pt>
              </c:strCache>
            </c:strRef>
          </c:cat>
          <c:val>
            <c:numRef>
              <c:extLst>
                <c:ext xmlns:c15="http://schemas.microsoft.com/office/drawing/2012/chart" uri="{02D57815-91ED-43cb-92C2-25804820EDAC}">
                  <c15:fullRef>
                    <c15:sqref>Graphes_Background!$Z$38:$Z$58</c15:sqref>
                  </c15:fullRef>
                </c:ext>
              </c:extLst>
              <c:f>Graphes_Background!$Z$38:$Z$56</c:f>
              <c:numCache>
                <c:formatCode>0;\-0;;@</c:formatCode>
                <c:ptCount val="19"/>
                <c:pt idx="0">
                  <c:v>0.11037443880687868</c:v>
                </c:pt>
                <c:pt idx="1">
                  <c:v>0.21322203854280497</c:v>
                </c:pt>
                <c:pt idx="2">
                  <c:v>0.31344198152742397</c:v>
                </c:pt>
                <c:pt idx="3">
                  <c:v>0.41258047828904476</c:v>
                </c:pt>
                <c:pt idx="4">
                  <c:v>0.50616996941226089</c:v>
                </c:pt>
                <c:pt idx="5">
                  <c:v>0.59237272830450205</c:v>
                </c:pt>
                <c:pt idx="6">
                  <c:v>0.6592686363349225</c:v>
                </c:pt>
                <c:pt idx="7">
                  <c:v>0.72274122453390854</c:v>
                </c:pt>
                <c:pt idx="8">
                  <c:v>0.7784883020610085</c:v>
                </c:pt>
                <c:pt idx="9">
                  <c:v>0.8262124112594722</c:v>
                </c:pt>
                <c:pt idx="10">
                  <c:v>0.86623419042884198</c:v>
                </c:pt>
                <c:pt idx="11">
                  <c:v>0.89951753839268478</c:v>
                </c:pt>
                <c:pt idx="12">
                  <c:v>0.93172225933918085</c:v>
                </c:pt>
                <c:pt idx="13">
                  <c:v>0.9552842483250652</c:v>
                </c:pt>
                <c:pt idx="14">
                  <c:v>0.96999580272463048</c:v>
                </c:pt>
                <c:pt idx="15">
                  <c:v>0.98294168578735208</c:v>
                </c:pt>
                <c:pt idx="16">
                  <c:v>0.99390159436533598</c:v>
                </c:pt>
                <c:pt idx="17">
                  <c:v>1.0000000000000002</c:v>
                </c:pt>
                <c:pt idx="18">
                  <c:v>1.0000000000000002</c:v>
                </c:pt>
              </c:numCache>
            </c:numRef>
          </c:val>
          <c:smooth val="0"/>
          <c:extLst>
            <c:ext xmlns:c16="http://schemas.microsoft.com/office/drawing/2014/chart" uri="{C3380CC4-5D6E-409C-BE32-E72D297353CC}">
              <c16:uniqueId val="{00000005-A287-457C-A5F5-53D4B6F2DF88}"/>
            </c:ext>
          </c:extLst>
        </c:ser>
        <c:dLbls>
          <c:showLegendKey val="0"/>
          <c:showVal val="0"/>
          <c:showCatName val="0"/>
          <c:showSerName val="0"/>
          <c:showPercent val="0"/>
          <c:showBubbleSize val="0"/>
        </c:dLbls>
        <c:marker val="1"/>
        <c:smooth val="0"/>
        <c:axId val="1143304095"/>
        <c:axId val="1143315743"/>
      </c:lineChart>
      <c:catAx>
        <c:axId val="1143304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900" b="0" i="0" u="none" strike="noStrike" kern="1200" baseline="0">
                <a:solidFill>
                  <a:schemeClr val="tx1">
                    <a:lumMod val="65000"/>
                    <a:lumOff val="35000"/>
                  </a:schemeClr>
                </a:solidFill>
                <a:latin typeface="+mn-lt"/>
                <a:ea typeface="+mn-ea"/>
                <a:cs typeface="+mn-cs"/>
              </a:defRPr>
            </a:pPr>
            <a:endParaRPr lang="fr-FR"/>
          </a:p>
        </c:txPr>
        <c:crossAx val="1143315327"/>
        <c:crosses val="autoZero"/>
        <c:auto val="1"/>
        <c:lblAlgn val="ctr"/>
        <c:lblOffset val="100"/>
        <c:noMultiLvlLbl val="0"/>
      </c:catAx>
      <c:valAx>
        <c:axId val="11433153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endParaRPr lang="fr-CH"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3304927"/>
        <c:crosses val="autoZero"/>
        <c:crossBetween val="between"/>
      </c:valAx>
      <c:valAx>
        <c:axId val="114331574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43304095"/>
        <c:crosses val="max"/>
        <c:crossBetween val="between"/>
      </c:valAx>
      <c:catAx>
        <c:axId val="1143304095"/>
        <c:scaling>
          <c:orientation val="minMax"/>
        </c:scaling>
        <c:delete val="1"/>
        <c:axPos val="b"/>
        <c:numFmt formatCode="General" sourceLinked="1"/>
        <c:majorTickMark val="out"/>
        <c:minorTickMark val="none"/>
        <c:tickLblPos val="nextTo"/>
        <c:crossAx val="1143315743"/>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800" b="1">
                <a:solidFill>
                  <a:schemeClr val="tx1"/>
                </a:solidFill>
              </a:rPr>
              <a:t>Impact carbone sur toute la durée de vie</a:t>
            </a:r>
            <a:r>
              <a:rPr lang="fr-CH" sz="1800" b="1" baseline="0">
                <a:solidFill>
                  <a:schemeClr val="tx1"/>
                </a:solidFill>
              </a:rPr>
              <a:t> selon les éléments du bâtiment</a:t>
            </a:r>
            <a:endParaRPr lang="fr-CH" sz="1800" b="1">
              <a:solidFill>
                <a:schemeClr val="tx1"/>
              </a:solidFill>
            </a:endParaRPr>
          </a:p>
        </c:rich>
      </c:tx>
      <c:layout>
        <c:manualLayout>
          <c:xMode val="edge"/>
          <c:yMode val="edge"/>
          <c:x val="0.11576742808841142"/>
          <c:y val="1.2506267494618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8.1221580750673178E-2"/>
          <c:y val="0.12383549754472473"/>
          <c:w val="0.50572516140226398"/>
          <c:h val="0.81462446056804683"/>
        </c:manualLayout>
      </c:layout>
      <c:barChart>
        <c:barDir val="col"/>
        <c:grouping val="stacked"/>
        <c:varyColors val="0"/>
        <c:ser>
          <c:idx val="0"/>
          <c:order val="0"/>
          <c:tx>
            <c:strRef>
              <c:f>'Outil détaillé'!$B$5</c:f>
              <c:strCache>
                <c:ptCount val="1"/>
                <c:pt idx="0">
                  <c:v>Travaux préparatoires B06 / B07.02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Graphes_Background!$E$2:$G$2</c:f>
              <c:numCache>
                <c:formatCode>0.0;\-0.0;;@</c:formatCode>
                <c:ptCount val="3"/>
                <c:pt idx="0">
                  <c:v>0.3058219759911085</c:v>
                </c:pt>
              </c:numCache>
            </c:numRef>
          </c:val>
          <c:extLst>
            <c:ext xmlns:c16="http://schemas.microsoft.com/office/drawing/2014/chart" uri="{C3380CC4-5D6E-409C-BE32-E72D297353CC}">
              <c16:uniqueId val="{00000000-E27E-48EE-B795-AE5D5BF0C81E}"/>
            </c:ext>
          </c:extLst>
        </c:ser>
        <c:ser>
          <c:idx val="1"/>
          <c:order val="1"/>
          <c:tx>
            <c:strRef>
              <c:f>'Outil détaillé'!$B$10</c:f>
              <c:strCache>
                <c:ptCount val="1"/>
                <c:pt idx="0">
                  <c:v>Enveloppe du bâtiment souterraine C01 / 02 / 04 - E01 - F01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Graphes_Background!$E$3:$G$3</c:f>
              <c:numCache>
                <c:formatCode>0.0;\-0.0;;@</c:formatCode>
                <c:ptCount val="3"/>
                <c:pt idx="0">
                  <c:v>2.6473423835102619</c:v>
                </c:pt>
                <c:pt idx="2">
                  <c:v>-9.9493777777777792E-2</c:v>
                </c:pt>
              </c:numCache>
            </c:numRef>
          </c:val>
          <c:extLst>
            <c:ext xmlns:c16="http://schemas.microsoft.com/office/drawing/2014/chart" uri="{C3380CC4-5D6E-409C-BE32-E72D297353CC}">
              <c16:uniqueId val="{00000001-E27E-48EE-B795-AE5D5BF0C81E}"/>
            </c:ext>
          </c:extLst>
        </c:ser>
        <c:ser>
          <c:idx val="2"/>
          <c:order val="2"/>
          <c:tx>
            <c:strRef>
              <c:f>'Outil détaillé'!$B$17</c:f>
              <c:strCache>
                <c:ptCount val="1"/>
                <c:pt idx="0">
                  <c:v>Enveloppe du bâtiment hors terrain C02 / 04 - E02 / 03 - F01 / 02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Graphes_Background!$E$6:$G$6</c:f>
              <c:numCache>
                <c:formatCode>0.0;\-0.0;;@</c:formatCode>
                <c:ptCount val="3"/>
                <c:pt idx="0">
                  <c:v>3.3120794548126757</c:v>
                </c:pt>
                <c:pt idx="2">
                  <c:v>-3.8930485062333928</c:v>
                </c:pt>
              </c:numCache>
            </c:numRef>
          </c:val>
          <c:extLst>
            <c:ext xmlns:c16="http://schemas.microsoft.com/office/drawing/2014/chart" uri="{C3380CC4-5D6E-409C-BE32-E72D297353CC}">
              <c16:uniqueId val="{00000002-E27E-48EE-B795-AE5D5BF0C81E}"/>
            </c:ext>
          </c:extLst>
        </c:ser>
        <c:ser>
          <c:idx val="3"/>
          <c:order val="3"/>
          <c:tx>
            <c:strRef>
              <c:f>'Outil détaillé'!$B$30</c:f>
              <c:strCache>
                <c:ptCount val="1"/>
                <c:pt idx="0">
                  <c:v>Eléments de construction intérieurs et extérieurs C02 / 04 - G02 / 03 / 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Graphes_Background!$E$11:$G$11</c:f>
              <c:numCache>
                <c:formatCode>0.0;\-0.0;;@</c:formatCode>
                <c:ptCount val="3"/>
                <c:pt idx="0">
                  <c:v>4.5212191928118797</c:v>
                </c:pt>
                <c:pt idx="2">
                  <c:v>-2.8315437654166664</c:v>
                </c:pt>
              </c:numCache>
            </c:numRef>
          </c:val>
          <c:extLst>
            <c:ext xmlns:c16="http://schemas.microsoft.com/office/drawing/2014/chart" uri="{C3380CC4-5D6E-409C-BE32-E72D297353CC}">
              <c16:uniqueId val="{00000003-E27E-48EE-B795-AE5D5BF0C81E}"/>
            </c:ext>
          </c:extLst>
        </c:ser>
        <c:ser>
          <c:idx val="4"/>
          <c:order val="4"/>
          <c:tx>
            <c:strRef>
              <c:f>'Outil détaillé'!$B$59</c:f>
              <c:strCache>
                <c:ptCount val="1"/>
                <c:pt idx="0">
                  <c:v>Installations CVSE D01 / 05 / 07 / 08 / 12</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Graphes_Background!$E$19:$G$19</c:f>
              <c:numCache>
                <c:formatCode>0.0;\-0.0;;@</c:formatCode>
                <c:ptCount val="3"/>
                <c:pt idx="0">
                  <c:v>2.1930004912367194</c:v>
                </c:pt>
              </c:numCache>
            </c:numRef>
          </c:val>
          <c:extLst>
            <c:ext xmlns:c16="http://schemas.microsoft.com/office/drawing/2014/chart" uri="{C3380CC4-5D6E-409C-BE32-E72D297353CC}">
              <c16:uniqueId val="{00000004-E27E-48EE-B795-AE5D5BF0C81E}"/>
            </c:ext>
          </c:extLst>
        </c:ser>
        <c:ser>
          <c:idx val="6"/>
          <c:order val="5"/>
          <c:tx>
            <c:strRef>
              <c:f>Graphes_Background!$B$23</c:f>
              <c:strCache>
                <c:ptCount val="1"/>
                <c:pt idx="0">
                  <c:v>Chauffage</c:v>
                </c:pt>
              </c:strCache>
            </c:strRef>
          </c:tx>
          <c:spPr>
            <a:pattFill prst="dkUpDiag">
              <a:fgClr>
                <a:schemeClr val="accent3">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Graphes_Background!$E$23:$G$23</c:f>
              <c:numCache>
                <c:formatCode>0.0;\-0.0;;@</c:formatCode>
                <c:ptCount val="3"/>
                <c:pt idx="1">
                  <c:v>2.0634324000040589</c:v>
                </c:pt>
              </c:numCache>
            </c:numRef>
          </c:val>
          <c:extLst>
            <c:ext xmlns:c16="http://schemas.microsoft.com/office/drawing/2014/chart" uri="{C3380CC4-5D6E-409C-BE32-E72D297353CC}">
              <c16:uniqueId val="{00000005-E27E-48EE-B795-AE5D5BF0C81E}"/>
            </c:ext>
          </c:extLst>
        </c:ser>
        <c:ser>
          <c:idx val="7"/>
          <c:order val="6"/>
          <c:tx>
            <c:strRef>
              <c:f>Graphes_Background!$B$24</c:f>
              <c:strCache>
                <c:ptCount val="1"/>
                <c:pt idx="0">
                  <c:v>Eau chaude sanitaire</c:v>
                </c:pt>
              </c:strCache>
            </c:strRef>
          </c:tx>
          <c:spPr>
            <a:pattFill prst="dkUpDiag">
              <a:fgClr>
                <a:schemeClr val="accent2">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Graphes_Background!$E$24:$G$24</c:f>
              <c:numCache>
                <c:formatCode>0.0;\-0.0;;@</c:formatCode>
                <c:ptCount val="3"/>
                <c:pt idx="1">
                  <c:v>0.48032407407407407</c:v>
                </c:pt>
              </c:numCache>
            </c:numRef>
          </c:val>
          <c:extLst>
            <c:ext xmlns:c16="http://schemas.microsoft.com/office/drawing/2014/chart" uri="{C3380CC4-5D6E-409C-BE32-E72D297353CC}">
              <c16:uniqueId val="{00000006-E27E-48EE-B795-AE5D5BF0C81E}"/>
            </c:ext>
          </c:extLst>
        </c:ser>
        <c:ser>
          <c:idx val="8"/>
          <c:order val="7"/>
          <c:tx>
            <c:strRef>
              <c:f>Graphes_Background!$B$25</c:f>
              <c:strCache>
                <c:ptCount val="1"/>
                <c:pt idx="0">
                  <c:v>Climatisation</c:v>
                </c:pt>
              </c:strCache>
            </c:strRef>
          </c:tx>
          <c:spPr>
            <a:pattFill prst="dkUpDiag">
              <a:fgClr>
                <a:schemeClr val="accent1">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Graphes_Background!$E$25:$G$25</c:f>
              <c:numCache>
                <c:formatCode>0.0;\-0.0;;@</c:formatCode>
                <c:ptCount val="3"/>
                <c:pt idx="1">
                  <c:v>0.5</c:v>
                </c:pt>
              </c:numCache>
            </c:numRef>
          </c:val>
          <c:extLst>
            <c:ext xmlns:c16="http://schemas.microsoft.com/office/drawing/2014/chart" uri="{C3380CC4-5D6E-409C-BE32-E72D297353CC}">
              <c16:uniqueId val="{00000007-E27E-48EE-B795-AE5D5BF0C81E}"/>
            </c:ext>
          </c:extLst>
        </c:ser>
        <c:ser>
          <c:idx val="9"/>
          <c:order val="8"/>
          <c:tx>
            <c:strRef>
              <c:f>Graphes_Background!$B$26</c:f>
              <c:strCache>
                <c:ptCount val="1"/>
                <c:pt idx="0">
                  <c:v>Eclairage</c:v>
                </c:pt>
              </c:strCache>
            </c:strRef>
          </c:tx>
          <c:spPr>
            <a:pattFill prst="dkUpDiag">
              <a:fgClr>
                <a:schemeClr val="accent4">
                  <a:lumMod val="40000"/>
                  <a:lumOff val="6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Graphes_Background!$E$26:$G$26</c:f>
              <c:numCache>
                <c:formatCode>0.0;\-0.0;;@</c:formatCode>
                <c:ptCount val="3"/>
                <c:pt idx="1">
                  <c:v>0.25</c:v>
                </c:pt>
              </c:numCache>
            </c:numRef>
          </c:val>
          <c:extLst>
            <c:ext xmlns:c16="http://schemas.microsoft.com/office/drawing/2014/chart" uri="{C3380CC4-5D6E-409C-BE32-E72D297353CC}">
              <c16:uniqueId val="{00000008-E27E-48EE-B795-AE5D5BF0C81E}"/>
            </c:ext>
          </c:extLst>
        </c:ser>
        <c:ser>
          <c:idx val="10"/>
          <c:order val="9"/>
          <c:tx>
            <c:strRef>
              <c:f>Graphes_Background!$B$27</c:f>
              <c:strCache>
                <c:ptCount val="1"/>
                <c:pt idx="0">
                  <c:v>Ventilation</c:v>
                </c:pt>
              </c:strCache>
            </c:strRef>
          </c:tx>
          <c:spPr>
            <a:pattFill prst="dkUpDiag">
              <a:fgClr>
                <a:schemeClr val="accent4">
                  <a:lumMod val="75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Graphes_Background!$E$27:$G$27</c:f>
              <c:numCache>
                <c:formatCode>0.0;\-0.0;;@</c:formatCode>
                <c:ptCount val="3"/>
                <c:pt idx="1">
                  <c:v>0.375</c:v>
                </c:pt>
              </c:numCache>
            </c:numRef>
          </c:val>
          <c:extLst>
            <c:ext xmlns:c16="http://schemas.microsoft.com/office/drawing/2014/chart" uri="{C3380CC4-5D6E-409C-BE32-E72D297353CC}">
              <c16:uniqueId val="{00000009-E27E-48EE-B795-AE5D5BF0C81E}"/>
            </c:ext>
          </c:extLst>
        </c:ser>
        <c:ser>
          <c:idx val="11"/>
          <c:order val="10"/>
          <c:tx>
            <c:strRef>
              <c:f>Graphes_Background!$B$28</c:f>
              <c:strCache>
                <c:ptCount val="1"/>
                <c:pt idx="0">
                  <c:v>Appareils</c:v>
                </c:pt>
              </c:strCache>
            </c:strRef>
          </c:tx>
          <c:spPr>
            <a:pattFill prst="dkUpDiag">
              <a:fgClr>
                <a:schemeClr val="accent6">
                  <a:lumMod val="60000"/>
                  <a:lumOff val="40000"/>
                </a:schemeClr>
              </a:fgClr>
              <a:bgClr>
                <a:schemeClr val="bg1"/>
              </a:bgClr>
            </a:patt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Graphes_Background!$E$28:$G$28</c:f>
              <c:numCache>
                <c:formatCode>0.0;\-0.0;;@</c:formatCode>
                <c:ptCount val="3"/>
                <c:pt idx="1">
                  <c:v>1.875</c:v>
                </c:pt>
              </c:numCache>
            </c:numRef>
          </c:val>
          <c:extLst>
            <c:ext xmlns:c16="http://schemas.microsoft.com/office/drawing/2014/chart" uri="{C3380CC4-5D6E-409C-BE32-E72D297353CC}">
              <c16:uniqueId val="{0000000A-E27E-48EE-B795-AE5D5BF0C81E}"/>
            </c:ext>
          </c:extLst>
        </c:ser>
        <c:ser>
          <c:idx val="12"/>
          <c:order val="11"/>
          <c:tx>
            <c:strRef>
              <c:f>Graphes_Background!$B$29</c:f>
              <c:strCache>
                <c:ptCount val="1"/>
                <c:pt idx="0">
                  <c:v>Installation techniques</c:v>
                </c:pt>
              </c:strCache>
            </c:strRef>
          </c:tx>
          <c:spPr>
            <a:pattFill prst="dkUpDiag">
              <a:fgClr>
                <a:srgbClr val="FF7C80"/>
              </a:fgClr>
              <a:bgClr>
                <a:schemeClr val="bg1"/>
              </a:bgClr>
            </a:pattFill>
            <a:ln w="31750">
              <a:noFill/>
            </a:ln>
            <a:effectLst/>
          </c:spPr>
          <c:invertIfNegative val="0"/>
          <c:dPt>
            <c:idx val="1"/>
            <c:invertIfNegative val="0"/>
            <c:bubble3D val="0"/>
            <c:spPr>
              <a:pattFill prst="dkUpDiag">
                <a:fgClr>
                  <a:srgbClr val="FF7C80"/>
                </a:fgClr>
                <a:bgClr>
                  <a:schemeClr val="bg1"/>
                </a:bgClr>
              </a:pattFill>
              <a:ln w="12700" cap="flat" cmpd="sng" algn="ctr">
                <a:noFill/>
                <a:prstDash val="solid"/>
                <a:miter lim="800000"/>
              </a:ln>
              <a:effectLst/>
            </c:spPr>
            <c:extLst>
              <c:ext xmlns:c16="http://schemas.microsoft.com/office/drawing/2014/chart" uri="{C3380CC4-5D6E-409C-BE32-E72D297353CC}">
                <c16:uniqueId val="{0000000C-E27E-48EE-B795-AE5D5BF0C8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Graphes_Background!$E$29:$G$29</c:f>
              <c:numCache>
                <c:formatCode>0.0;\-0.0;;@</c:formatCode>
                <c:ptCount val="3"/>
                <c:pt idx="1">
                  <c:v>0</c:v>
                </c:pt>
              </c:numCache>
            </c:numRef>
          </c:val>
          <c:extLst>
            <c:ext xmlns:c16="http://schemas.microsoft.com/office/drawing/2014/chart" uri="{C3380CC4-5D6E-409C-BE32-E72D297353CC}">
              <c16:uniqueId val="{0000000D-E27E-48EE-B795-AE5D5BF0C81E}"/>
            </c:ext>
          </c:extLst>
        </c:ser>
        <c:ser>
          <c:idx val="5"/>
          <c:order val="12"/>
          <c:tx>
            <c:strRef>
              <c:f>Graphes_Background!$B$30</c:f>
              <c:strCache>
                <c:ptCount val="1"/>
                <c:pt idx="0">
                  <c:v>PV réinjectée réseau</c:v>
                </c:pt>
              </c:strCache>
            </c:strRef>
          </c:tx>
          <c:spPr>
            <a:noFill/>
            <a:ln w="1270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Graphes_Background!$E$1:$G$1</c:f>
              <c:strCache>
                <c:ptCount val="3"/>
                <c:pt idx="0">
                  <c:v>Construction</c:v>
                </c:pt>
                <c:pt idx="1">
                  <c:v>Exploitation</c:v>
                </c:pt>
                <c:pt idx="2">
                  <c:v>Carbone biogène</c:v>
                </c:pt>
              </c:strCache>
            </c:strRef>
          </c:cat>
          <c:val>
            <c:numRef>
              <c:f>Graphes_Background!$E$30:$G$30</c:f>
              <c:numCache>
                <c:formatCode>0.0;\-0.0;;@</c:formatCode>
                <c:ptCount val="3"/>
                <c:pt idx="1">
                  <c:v>0</c:v>
                </c:pt>
              </c:numCache>
            </c:numRef>
          </c:val>
          <c:extLst>
            <c:ext xmlns:c16="http://schemas.microsoft.com/office/drawing/2014/chart" uri="{C3380CC4-5D6E-409C-BE32-E72D297353CC}">
              <c16:uniqueId val="{0000000E-E27E-48EE-B795-AE5D5BF0C81E}"/>
            </c:ext>
          </c:extLst>
        </c:ser>
        <c:dLbls>
          <c:showLegendKey val="0"/>
          <c:showVal val="0"/>
          <c:showCatName val="0"/>
          <c:showSerName val="0"/>
          <c:showPercent val="0"/>
          <c:showBubbleSize val="0"/>
        </c:dLbls>
        <c:gapWidth val="20"/>
        <c:overlap val="100"/>
        <c:axId val="1870736639"/>
        <c:axId val="1870737471"/>
      </c:barChart>
      <c:scatterChart>
        <c:scatterStyle val="lineMarker"/>
        <c:varyColors val="0"/>
        <c:ser>
          <c:idx val="14"/>
          <c:order val="13"/>
          <c:tx>
            <c:strRef>
              <c:f>Graphes_Background!$B$33</c:f>
              <c:strCache>
                <c:ptCount val="1"/>
                <c:pt idx="0">
                  <c:v>Objectifs</c:v>
                </c:pt>
              </c:strCache>
            </c:strRef>
          </c:tx>
          <c:spPr>
            <a:ln w="25400" cap="rnd">
              <a:noFill/>
              <a:round/>
            </a:ln>
            <a:effectLst/>
          </c:spPr>
          <c:marker>
            <c:symbol val="dash"/>
            <c:size val="12"/>
            <c:spPr>
              <a:solidFill>
                <a:srgbClr val="FF0000"/>
              </a:solidFill>
              <a:ln w="9525">
                <a:noFill/>
              </a:ln>
              <a:effectLst/>
            </c:spPr>
          </c:marker>
          <c:dPt>
            <c:idx val="0"/>
            <c:marker>
              <c:symbol val="dash"/>
              <c:size val="12"/>
              <c:spPr>
                <a:solidFill>
                  <a:srgbClr val="FF0000"/>
                </a:solidFill>
                <a:ln w="9525">
                  <a:noFill/>
                </a:ln>
                <a:effectLst/>
              </c:spPr>
            </c:marker>
            <c:bubble3D val="0"/>
            <c:extLst>
              <c:ext xmlns:c16="http://schemas.microsoft.com/office/drawing/2014/chart" uri="{C3380CC4-5D6E-409C-BE32-E72D297353CC}">
                <c16:uniqueId val="{0000000F-E27E-48EE-B795-AE5D5BF0C81E}"/>
              </c:ext>
            </c:extLst>
          </c:dPt>
          <c:xVal>
            <c:strRef>
              <c:f>Graphes_Background!$E$1:$G$1</c:f>
              <c:strCache>
                <c:ptCount val="3"/>
                <c:pt idx="0">
                  <c:v>Construction</c:v>
                </c:pt>
                <c:pt idx="1">
                  <c:v>Exploitation</c:v>
                </c:pt>
                <c:pt idx="2">
                  <c:v>Carbone biogène</c:v>
                </c:pt>
              </c:strCache>
            </c:strRef>
          </c:xVal>
          <c:yVal>
            <c:numRef>
              <c:f>Graphes_Background!$E$33:$G$33</c:f>
              <c:numCache>
                <c:formatCode>_(* #,##0.00_);_(* \(#,##0.00\);_(* "-"??_);_(@_)</c:formatCode>
                <c:ptCount val="3"/>
                <c:pt idx="0" formatCode="0.0;\-0.0;;@">
                  <c:v>9</c:v>
                </c:pt>
                <c:pt idx="1">
                  <c:v>2</c:v>
                </c:pt>
              </c:numCache>
            </c:numRef>
          </c:yVal>
          <c:smooth val="0"/>
          <c:extLst>
            <c:ext xmlns:c16="http://schemas.microsoft.com/office/drawing/2014/chart" uri="{C3380CC4-5D6E-409C-BE32-E72D297353CC}">
              <c16:uniqueId val="{00000010-E27E-48EE-B795-AE5D5BF0C81E}"/>
            </c:ext>
          </c:extLst>
        </c:ser>
        <c:dLbls>
          <c:showLegendKey val="0"/>
          <c:showVal val="0"/>
          <c:showCatName val="0"/>
          <c:showSerName val="0"/>
          <c:showPercent val="0"/>
          <c:showBubbleSize val="0"/>
        </c:dLbls>
        <c:axId val="1870736639"/>
        <c:axId val="1870737471"/>
      </c:scatterChart>
      <c:catAx>
        <c:axId val="18707366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0737471"/>
        <c:crosses val="autoZero"/>
        <c:auto val="1"/>
        <c:lblAlgn val="ctr"/>
        <c:lblOffset val="100"/>
        <c:noMultiLvlLbl val="0"/>
      </c:catAx>
      <c:valAx>
        <c:axId val="18707374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t" anchorCtr="0"/>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r>
                  <a:rPr lang="fr-CH" sz="1000" b="0" i="0" baseline="0">
                    <a:effectLst/>
                  </a:rPr>
                  <a:t>.an</a:t>
                </a:r>
                <a:endParaRPr lang="fr-CH" sz="1000">
                  <a:effectLst/>
                </a:endParaRPr>
              </a:p>
            </c:rich>
          </c:tx>
          <c:overlay val="0"/>
          <c:spPr>
            <a:noFill/>
            <a:ln>
              <a:noFill/>
            </a:ln>
            <a:effectLst/>
          </c:spPr>
          <c:txPr>
            <a:bodyPr rot="-5400000" spcFirstLastPara="1" vertOverflow="ellipsis" vert="horz" wrap="square" anchor="t" anchorCtr="0"/>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0736639"/>
        <c:crosses val="autoZero"/>
        <c:crossBetween val="between"/>
      </c:valAx>
      <c:spPr>
        <a:noFill/>
        <a:ln>
          <a:noFill/>
        </a:ln>
        <a:effectLst/>
      </c:spPr>
    </c:plotArea>
    <c:legend>
      <c:legendPos val="b"/>
      <c:layout>
        <c:manualLayout>
          <c:xMode val="edge"/>
          <c:yMode val="edge"/>
          <c:x val="0.60412918233300172"/>
          <c:y val="0.16999396911953357"/>
          <c:w val="0.38082750081768374"/>
          <c:h val="0.7771219054886908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span"/>
    <c:showDLblsOverMax val="0"/>
    <c:extLst/>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800" b="1" i="0" baseline="0">
                <a:effectLst/>
              </a:rPr>
              <a:t>Impact carbone par catégorie de matériaux</a:t>
            </a:r>
            <a:endParaRPr lang="fr-CH">
              <a:effectLst/>
            </a:endParaRPr>
          </a:p>
        </c:rich>
      </c:tx>
      <c:layout>
        <c:manualLayout>
          <c:xMode val="edge"/>
          <c:yMode val="edge"/>
          <c:x val="0.24225516753126555"/>
          <c:y val="2.77777412649385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tx>
            <c:strRef>
              <c:f>'List of materials'!$V$1</c:f>
              <c:strCache>
                <c:ptCount val="1"/>
                <c:pt idx="0">
                  <c:v>kgCO2eq/m2SRE</c:v>
                </c:pt>
              </c:strCache>
            </c:strRef>
          </c:tx>
          <c:spPr>
            <a:solidFill>
              <a:schemeClr val="accent1"/>
            </a:solidFill>
            <a:ln>
              <a:noFill/>
            </a:ln>
            <a:effectLst/>
          </c:spPr>
          <c:invertIfNegative val="0"/>
          <c:cat>
            <c:strRef>
              <c:f>'List of materials'!$U$2:$U$41</c:f>
              <c:strCache>
                <c:ptCount val="40"/>
                <c:pt idx="0">
                  <c:v>Béton pour bâtiment (sans armature)</c:v>
                </c:pt>
                <c:pt idx="1">
                  <c:v>Laine de roche</c:v>
                </c:pt>
                <c:pt idx="2">
                  <c:v>Enduit en plâtre et en ciment</c:v>
                </c:pt>
                <c:pt idx="3">
                  <c:v>Acier d'armature</c:v>
                </c:pt>
                <c:pt idx="4">
                  <c:v>Chape de ciment, 85 mm</c:v>
                </c:pt>
                <c:pt idx="5">
                  <c:v>Système de ventilation habitation</c:v>
                </c:pt>
                <c:pt idx="6">
                  <c:v>Protection solaire, stores vénitiens avec moteur 4</c:v>
                </c:pt>
                <c:pt idx="7">
                  <c:v>Installation électriques habitation</c:v>
                </c:pt>
                <c:pt idx="8">
                  <c:v>Triple vitrage, U&lt;0.6 W/m2K, épaisseur 40 mm 3</c:v>
                </c:pt>
                <c:pt idx="9">
                  <c:v>Installation sanitaire habitation</c:v>
                </c:pt>
                <c:pt idx="10">
                  <c:v>Tuile en terre cuite</c:v>
                </c:pt>
                <c:pt idx="11">
                  <c:v>Sondes géothermiques</c:v>
                </c:pt>
                <c:pt idx="12">
                  <c:v>Bois massif épicéa / sapin / mélèze, séché à l'air, brut</c:v>
                </c:pt>
                <c:pt idx="13">
                  <c:v>Bois massif 3 et 5 plis</c:v>
                </c:pt>
                <c:pt idx="14">
                  <c:v>Bois massif épicéa / sapin / mélèze, séché en cellule, raboté</c:v>
                </c:pt>
                <c:pt idx="15">
                  <c:v>Cadre de fenêtre en bois</c:v>
                </c:pt>
                <c:pt idx="16">
                  <c:v>Plaque de plâtre armé de fibres</c:v>
                </c:pt>
                <c:pt idx="17">
                  <c:v>Tôle d'acier, zinguée</c:v>
                </c:pt>
                <c:pt idx="18">
                  <c:v>Enduit, diluable à l'eau, 2 couches</c:v>
                </c:pt>
                <c:pt idx="19">
                  <c:v>Parquet, 2 plis, vitrifié d'usine, 11 mm</c:v>
                </c:pt>
                <c:pt idx="20">
                  <c:v>Dalle en céramique/grès, 9 mm</c:v>
                </c:pt>
                <c:pt idx="21">
                  <c:v>Polyéthylène (HDPE)</c:v>
                </c:pt>
                <c:pt idx="22">
                  <c:v>Béton maigre (sans armature)</c:v>
                </c:pt>
                <c:pt idx="23">
                  <c:v>Extraction mécanique cuisine et salle de bain</c:v>
                </c:pt>
                <c:pt idx="24">
                  <c:v>Distribution et émission de chaleur habitation</c:v>
                </c:pt>
                <c:pt idx="25">
                  <c:v>Colle bicomposant</c:v>
                </c:pt>
                <c:pt idx="26">
                  <c:v>Plaque de plâtre cartonnée</c:v>
                </c:pt>
                <c:pt idx="27">
                  <c:v>Polyamide (PA) renforcé par des fibres de verre </c:v>
                </c:pt>
                <c:pt idx="28">
                  <c:v>Voile de polyéthylène (PE)</c:v>
                </c:pt>
                <c:pt idx="29">
                  <c:v>Enduit minéral</c:v>
                </c:pt>
                <c:pt idx="30">
                  <c:v>Portes extérieures aluminium, avec vitrage</c:v>
                </c:pt>
                <c:pt idx="31">
                  <c:v>Capteurs solaires</c:v>
                </c:pt>
                <c:pt idx="32">
                  <c:v>Tôle d'acier nickel-chrome 18/8, nue</c:v>
                </c:pt>
                <c:pt idx="33">
                  <c:v>Colle de construction/mortier d'enrobage minéral(e) </c:v>
                </c:pt>
                <c:pt idx="34">
                  <c:v>Enduit en plâtre et chaux</c:v>
                </c:pt>
                <c:pt idx="35">
                  <c:v>Polystyrène extrudé (XPS)</c:v>
                </c:pt>
                <c:pt idx="36">
                  <c:v>Vol.excavation</c:v>
                </c:pt>
                <c:pt idx="37">
                  <c:v>Feuille de polyéthylène (PE)</c:v>
                </c:pt>
                <c:pt idx="38">
                  <c:v>Pompe à chaleur saumure-eau 15 kW</c:v>
                </c:pt>
                <c:pt idx="39">
                  <c:v>Émulsion de bitume, 1 couche</c:v>
                </c:pt>
              </c:strCache>
            </c:strRef>
          </c:cat>
          <c:val>
            <c:numRef>
              <c:f>'List of materials'!$V$2:$V$41</c:f>
              <c:numCache>
                <c:formatCode>General</c:formatCode>
                <c:ptCount val="40"/>
                <c:pt idx="0">
                  <c:v>154.23157038296179</c:v>
                </c:pt>
                <c:pt idx="1">
                  <c:v>69.476293641513649</c:v>
                </c:pt>
                <c:pt idx="2">
                  <c:v>53.328051000000002</c:v>
                </c:pt>
                <c:pt idx="3">
                  <c:v>47.97621075</c:v>
                </c:pt>
                <c:pt idx="4">
                  <c:v>31.002299999999998</c:v>
                </c:pt>
                <c:pt idx="5">
                  <c:v>29.875999999999998</c:v>
                </c:pt>
                <c:pt idx="6">
                  <c:v>28.785599999999999</c:v>
                </c:pt>
                <c:pt idx="7">
                  <c:v>25.92</c:v>
                </c:pt>
                <c:pt idx="8">
                  <c:v>25.384319999999995</c:v>
                </c:pt>
                <c:pt idx="9">
                  <c:v>25.08</c:v>
                </c:pt>
                <c:pt idx="10">
                  <c:v>22.268399882643862</c:v>
                </c:pt>
                <c:pt idx="11">
                  <c:v>21.806249999999999</c:v>
                </c:pt>
                <c:pt idx="12">
                  <c:v>18.537873265079543</c:v>
                </c:pt>
                <c:pt idx="13">
                  <c:v>17.646583402499999</c:v>
                </c:pt>
                <c:pt idx="14">
                  <c:v>17.407225400000002</c:v>
                </c:pt>
                <c:pt idx="15">
                  <c:v>17.371200000000002</c:v>
                </c:pt>
                <c:pt idx="16">
                  <c:v>13.2384</c:v>
                </c:pt>
                <c:pt idx="17">
                  <c:v>12.460064152890189</c:v>
                </c:pt>
                <c:pt idx="18">
                  <c:v>11.187646000000001</c:v>
                </c:pt>
                <c:pt idx="19">
                  <c:v>10.9298</c:v>
                </c:pt>
                <c:pt idx="20">
                  <c:v>10.866000000000003</c:v>
                </c:pt>
                <c:pt idx="21">
                  <c:v>9.5</c:v>
                </c:pt>
                <c:pt idx="22">
                  <c:v>7.8761666666666681</c:v>
                </c:pt>
                <c:pt idx="23">
                  <c:v>7.2899999999999991</c:v>
                </c:pt>
                <c:pt idx="24">
                  <c:v>6.9300000000000015</c:v>
                </c:pt>
                <c:pt idx="25">
                  <c:v>6.7717999999999998</c:v>
                </c:pt>
                <c:pt idx="26">
                  <c:v>6.4111249999999993</c:v>
                </c:pt>
                <c:pt idx="27">
                  <c:v>6.3991916800000004</c:v>
                </c:pt>
                <c:pt idx="28">
                  <c:v>5.9681269643505264</c:v>
                </c:pt>
                <c:pt idx="29">
                  <c:v>5.9259007500000012</c:v>
                </c:pt>
                <c:pt idx="30">
                  <c:v>5.6647499999999997</c:v>
                </c:pt>
                <c:pt idx="31">
                  <c:v>4.2</c:v>
                </c:pt>
                <c:pt idx="32">
                  <c:v>4.1505570842399999</c:v>
                </c:pt>
                <c:pt idx="33">
                  <c:v>3.1644600000000001</c:v>
                </c:pt>
                <c:pt idx="34">
                  <c:v>1.7662400000000003</c:v>
                </c:pt>
                <c:pt idx="35">
                  <c:v>1.7267999999999999</c:v>
                </c:pt>
                <c:pt idx="36">
                  <c:v>1.3540586842217783</c:v>
                </c:pt>
                <c:pt idx="37">
                  <c:v>1.1265258452427975</c:v>
                </c:pt>
                <c:pt idx="38">
                  <c:v>0.35777947420315515</c:v>
                </c:pt>
                <c:pt idx="39">
                  <c:v>0.28927999999999998</c:v>
                </c:pt>
              </c:numCache>
            </c:numRef>
          </c:val>
          <c:extLst>
            <c:ext xmlns:c16="http://schemas.microsoft.com/office/drawing/2014/chart" uri="{C3380CC4-5D6E-409C-BE32-E72D297353CC}">
              <c16:uniqueId val="{00000000-C8D0-47E7-820A-B7A7F49C0103}"/>
            </c:ext>
          </c:extLst>
        </c:ser>
        <c:dLbls>
          <c:showLegendKey val="0"/>
          <c:showVal val="0"/>
          <c:showCatName val="0"/>
          <c:showSerName val="0"/>
          <c:showPercent val="0"/>
          <c:showBubbleSize val="0"/>
        </c:dLbls>
        <c:gapWidth val="50"/>
        <c:axId val="1412237888"/>
        <c:axId val="1412250784"/>
      </c:barChart>
      <c:lineChart>
        <c:grouping val="standard"/>
        <c:varyColors val="0"/>
        <c:ser>
          <c:idx val="1"/>
          <c:order val="1"/>
          <c:tx>
            <c:strRef>
              <c:f>'List of materials'!$W$1</c:f>
              <c:strCache>
                <c:ptCount val="1"/>
                <c:pt idx="0">
                  <c:v>%total kgCO2</c:v>
                </c:pt>
              </c:strCache>
            </c:strRef>
          </c:tx>
          <c:spPr>
            <a:ln w="19050" cap="rnd">
              <a:solidFill>
                <a:schemeClr val="tx1"/>
              </a:solidFill>
              <a:round/>
            </a:ln>
            <a:effectLst/>
          </c:spPr>
          <c:marker>
            <c:symbol val="none"/>
          </c:marker>
          <c:cat>
            <c:strRef>
              <c:f>'List of materials'!$U$2:$U$41</c:f>
              <c:strCache>
                <c:ptCount val="40"/>
                <c:pt idx="0">
                  <c:v>Béton pour bâtiment (sans armature)</c:v>
                </c:pt>
                <c:pt idx="1">
                  <c:v>Laine de roche</c:v>
                </c:pt>
                <c:pt idx="2">
                  <c:v>Enduit en plâtre et en ciment</c:v>
                </c:pt>
                <c:pt idx="3">
                  <c:v>Acier d'armature</c:v>
                </c:pt>
                <c:pt idx="4">
                  <c:v>Chape de ciment, 85 mm</c:v>
                </c:pt>
                <c:pt idx="5">
                  <c:v>Système de ventilation habitation</c:v>
                </c:pt>
                <c:pt idx="6">
                  <c:v>Protection solaire, stores vénitiens avec moteur 4</c:v>
                </c:pt>
                <c:pt idx="7">
                  <c:v>Installation électriques habitation</c:v>
                </c:pt>
                <c:pt idx="8">
                  <c:v>Triple vitrage, U&lt;0.6 W/m2K, épaisseur 40 mm 3</c:v>
                </c:pt>
                <c:pt idx="9">
                  <c:v>Installation sanitaire habitation</c:v>
                </c:pt>
                <c:pt idx="10">
                  <c:v>Tuile en terre cuite</c:v>
                </c:pt>
                <c:pt idx="11">
                  <c:v>Sondes géothermiques</c:v>
                </c:pt>
                <c:pt idx="12">
                  <c:v>Bois massif épicéa / sapin / mélèze, séché à l'air, brut</c:v>
                </c:pt>
                <c:pt idx="13">
                  <c:v>Bois massif 3 et 5 plis</c:v>
                </c:pt>
                <c:pt idx="14">
                  <c:v>Bois massif épicéa / sapin / mélèze, séché en cellule, raboté</c:v>
                </c:pt>
                <c:pt idx="15">
                  <c:v>Cadre de fenêtre en bois</c:v>
                </c:pt>
                <c:pt idx="16">
                  <c:v>Plaque de plâtre armé de fibres</c:v>
                </c:pt>
                <c:pt idx="17">
                  <c:v>Tôle d'acier, zinguée</c:v>
                </c:pt>
                <c:pt idx="18">
                  <c:v>Enduit, diluable à l'eau, 2 couches</c:v>
                </c:pt>
                <c:pt idx="19">
                  <c:v>Parquet, 2 plis, vitrifié d'usine, 11 mm</c:v>
                </c:pt>
                <c:pt idx="20">
                  <c:v>Dalle en céramique/grès, 9 mm</c:v>
                </c:pt>
                <c:pt idx="21">
                  <c:v>Polyéthylène (HDPE)</c:v>
                </c:pt>
                <c:pt idx="22">
                  <c:v>Béton maigre (sans armature)</c:v>
                </c:pt>
                <c:pt idx="23">
                  <c:v>Extraction mécanique cuisine et salle de bain</c:v>
                </c:pt>
                <c:pt idx="24">
                  <c:v>Distribution et émission de chaleur habitation</c:v>
                </c:pt>
                <c:pt idx="25">
                  <c:v>Colle bicomposant</c:v>
                </c:pt>
                <c:pt idx="26">
                  <c:v>Plaque de plâtre cartonnée</c:v>
                </c:pt>
                <c:pt idx="27">
                  <c:v>Polyamide (PA) renforcé par des fibres de verre </c:v>
                </c:pt>
                <c:pt idx="28">
                  <c:v>Voile de polyéthylène (PE)</c:v>
                </c:pt>
                <c:pt idx="29">
                  <c:v>Enduit minéral</c:v>
                </c:pt>
                <c:pt idx="30">
                  <c:v>Portes extérieures aluminium, avec vitrage</c:v>
                </c:pt>
                <c:pt idx="31">
                  <c:v>Capteurs solaires</c:v>
                </c:pt>
                <c:pt idx="32">
                  <c:v>Tôle d'acier nickel-chrome 18/8, nue</c:v>
                </c:pt>
                <c:pt idx="33">
                  <c:v>Colle de construction/mortier d'enrobage minéral(e) </c:v>
                </c:pt>
                <c:pt idx="34">
                  <c:v>Enduit en plâtre et chaux</c:v>
                </c:pt>
                <c:pt idx="35">
                  <c:v>Polystyrène extrudé (XPS)</c:v>
                </c:pt>
                <c:pt idx="36">
                  <c:v>Vol.excavation</c:v>
                </c:pt>
                <c:pt idx="37">
                  <c:v>Feuille de polyéthylène (PE)</c:v>
                </c:pt>
                <c:pt idx="38">
                  <c:v>Pompe à chaleur saumure-eau 15 kW</c:v>
                </c:pt>
                <c:pt idx="39">
                  <c:v>Émulsion de bitume, 1 couche</c:v>
                </c:pt>
              </c:strCache>
            </c:strRef>
          </c:cat>
          <c:val>
            <c:numRef>
              <c:f>'List of materials'!$W$2:$W$41</c:f>
              <c:numCache>
                <c:formatCode>General</c:formatCode>
                <c:ptCount val="40"/>
                <c:pt idx="0">
                  <c:v>20.518997823864428</c:v>
                </c:pt>
                <c:pt idx="1">
                  <c:v>29.762137308864908</c:v>
                </c:pt>
                <c:pt idx="2">
                  <c:v>36.856911483198374</c:v>
                </c:pt>
                <c:pt idx="3">
                  <c:v>43.239675800076924</c:v>
                </c:pt>
                <c:pt idx="4">
                  <c:v>47.364227762137908</c:v>
                </c:pt>
                <c:pt idx="5">
                  <c:v>51.338936555309189</c:v>
                </c:pt>
                <c:pt idx="6">
                  <c:v>55.168578322503969</c:v>
                </c:pt>
                <c:pt idx="7">
                  <c:v>58.616980113874959</c:v>
                </c:pt>
                <c:pt idx="8">
                  <c:v>61.994114934890945</c:v>
                </c:pt>
                <c:pt idx="9">
                  <c:v>65.330762964504544</c:v>
                </c:pt>
                <c:pt idx="10">
                  <c:v>68.293355173079945</c:v>
                </c:pt>
                <c:pt idx="11">
                  <c:v>71.194462872272979</c:v>
                </c:pt>
                <c:pt idx="12">
                  <c:v>73.660745101266372</c:v>
                </c:pt>
                <c:pt idx="13">
                  <c:v>76.008449955307981</c:v>
                </c:pt>
                <c:pt idx="14">
                  <c:v>78.324310574604226</c:v>
                </c:pt>
                <c:pt idx="15">
                  <c:v>80.635378367747109</c:v>
                </c:pt>
                <c:pt idx="16">
                  <c:v>82.39661765304362</c:v>
                </c:pt>
                <c:pt idx="17">
                  <c:v>84.054306987357819</c:v>
                </c:pt>
                <c:pt idx="18">
                  <c:v>85.542713565584066</c:v>
                </c:pt>
                <c:pt idx="19">
                  <c:v>86.996816262317353</c:v>
                </c:pt>
                <c:pt idx="20">
                  <c:v>88.442430994764777</c:v>
                </c:pt>
                <c:pt idx="21">
                  <c:v>89.706312824163859</c:v>
                </c:pt>
                <c:pt idx="22">
                  <c:v>90.754159554197415</c:v>
                </c:pt>
                <c:pt idx="23">
                  <c:v>91.724022558020508</c:v>
                </c:pt>
                <c:pt idx="24">
                  <c:v>92.645991092518997</c:v>
                </c:pt>
                <c:pt idx="25">
                  <c:v>93.546912668553176</c:v>
                </c:pt>
                <c:pt idx="26">
                  <c:v>94.399849973132774</c:v>
                </c:pt>
                <c:pt idx="27">
                  <c:v>95.2511996665216</c:v>
                </c:pt>
                <c:pt idx="28">
                  <c:v>96.045200427131007</c:v>
                </c:pt>
                <c:pt idx="29">
                  <c:v>96.833583404051794</c:v>
                </c:pt>
                <c:pt idx="30">
                  <c:v>97.587222834903216</c:v>
                </c:pt>
                <c:pt idx="31">
                  <c:v>98.145991643690181</c:v>
                </c:pt>
                <c:pt idx="32">
                  <c:v>98.698182557443303</c:v>
                </c:pt>
                <c:pt idx="33">
                  <c:v>99.11918292521807</c:v>
                </c:pt>
                <c:pt idx="34">
                  <c:v>99.354163834939953</c:v>
                </c:pt>
                <c:pt idx="35">
                  <c:v>99.58389763946694</c:v>
                </c:pt>
                <c:pt idx="36">
                  <c:v>99.764041867564615</c:v>
                </c:pt>
                <c:pt idx="37">
                  <c:v>99.913915082948918</c:v>
                </c:pt>
                <c:pt idx="38">
                  <c:v>99.9615141330939</c:v>
                </c:pt>
                <c:pt idx="39">
                  <c:v>100.00000000000007</c:v>
                </c:pt>
              </c:numCache>
            </c:numRef>
          </c:val>
          <c:smooth val="0"/>
          <c:extLst>
            <c:ext xmlns:c16="http://schemas.microsoft.com/office/drawing/2014/chart" uri="{C3380CC4-5D6E-409C-BE32-E72D297353CC}">
              <c16:uniqueId val="{00000001-C8D0-47E7-820A-B7A7F49C0103}"/>
            </c:ext>
          </c:extLst>
        </c:ser>
        <c:dLbls>
          <c:showLegendKey val="0"/>
          <c:showVal val="0"/>
          <c:showCatName val="0"/>
          <c:showSerName val="0"/>
          <c:showPercent val="0"/>
          <c:showBubbleSize val="0"/>
        </c:dLbls>
        <c:marker val="1"/>
        <c:smooth val="0"/>
        <c:axId val="1412237888"/>
        <c:axId val="1412250784"/>
      </c:lineChart>
      <c:catAx>
        <c:axId val="141223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12250784"/>
        <c:crosses val="autoZero"/>
        <c:auto val="1"/>
        <c:lblAlgn val="ctr"/>
        <c:lblOffset val="100"/>
        <c:noMultiLvlLbl val="0"/>
      </c:catAx>
      <c:valAx>
        <c:axId val="141225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000" b="0" i="0" baseline="0">
                    <a:effectLst/>
                  </a:rPr>
                  <a:t> kgCO</a:t>
                </a:r>
                <a:r>
                  <a:rPr lang="fr-CH" sz="1000" b="0" i="0" baseline="-25000">
                    <a:effectLst/>
                  </a:rPr>
                  <a:t>2éq</a:t>
                </a:r>
                <a:r>
                  <a:rPr lang="fr-CH" sz="1000" b="0" i="0" baseline="0">
                    <a:effectLst/>
                  </a:rPr>
                  <a:t>/m</a:t>
                </a:r>
                <a:r>
                  <a:rPr lang="fr-CH" sz="1000" b="0" i="0" baseline="30000">
                    <a:effectLst/>
                  </a:rPr>
                  <a:t>2</a:t>
                </a:r>
                <a:r>
                  <a:rPr lang="fr-CH" sz="1000" b="0" i="0" baseline="-25000">
                    <a:effectLst/>
                  </a:rPr>
                  <a:t>SRE</a:t>
                </a:r>
                <a:r>
                  <a:rPr lang="fr-CH" sz="1000" b="0" i="0" baseline="0">
                    <a:effectLst/>
                  </a:rPr>
                  <a:t> ou %</a:t>
                </a:r>
                <a:endParaRPr lang="fr-CH"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412237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'List of materials'!$AG$2:$AG$19</c:f>
              <c:strCache>
                <c:ptCount val="18"/>
                <c:pt idx="0">
                  <c:v>Travaux de préparation</c:v>
                </c:pt>
                <c:pt idx="1">
                  <c:v>Béton</c:v>
                </c:pt>
                <c:pt idx="2">
                  <c:v>Pierres de taille </c:v>
                </c:pt>
                <c:pt idx="3">
                  <c:v>Autres matériaux massifs</c:v>
                </c:pt>
                <c:pt idx="4">
                  <c:v>Mortiers et enduits</c:v>
                </c:pt>
                <c:pt idx="5">
                  <c:v>Fenêtre et façades verre/métal</c:v>
                </c:pt>
                <c:pt idx="6">
                  <c:v>Produits en métal </c:v>
                </c:pt>
                <c:pt idx="7">
                  <c:v>Bois et produits en bois</c:v>
                </c:pt>
                <c:pt idx="8">
                  <c:v>Colles et masses de jointoiement</c:v>
                </c:pt>
                <c:pt idx="9">
                  <c:v>Lés d'étanchéité et feuilles de protection </c:v>
                </c:pt>
                <c:pt idx="10">
                  <c:v>Produits d'isolation thermique</c:v>
                </c:pt>
                <c:pt idx="11">
                  <c:v>Revêtements de sol</c:v>
                </c:pt>
                <c:pt idx="12">
                  <c:v>Portes</c:v>
                </c:pt>
                <c:pt idx="13">
                  <c:v>Tuyaux</c:v>
                </c:pt>
                <c:pt idx="14">
                  <c:v>Enduits et revêtements</c:v>
                </c:pt>
                <c:pt idx="15">
                  <c:v>Matières plastique</c:v>
                </c:pt>
                <c:pt idx="16">
                  <c:v>Technique du bâtiment</c:v>
                </c:pt>
                <c:pt idx="17">
                  <c:v>Transport excavation</c:v>
                </c:pt>
              </c:strCache>
            </c:strRef>
          </c:cat>
          <c:val>
            <c:numRef>
              <c:f>'List of materials'!$AI$2:$AI$19</c:f>
              <c:numCache>
                <c:formatCode>General</c:formatCode>
                <c:ptCount val="18"/>
                <c:pt idx="0">
                  <c:v>0</c:v>
                </c:pt>
                <c:pt idx="1">
                  <c:v>2.7017956174938078</c:v>
                </c:pt>
                <c:pt idx="2">
                  <c:v>0</c:v>
                </c:pt>
                <c:pt idx="3">
                  <c:v>0.69863208137739763</c:v>
                </c:pt>
                <c:pt idx="4">
                  <c:v>1.5864491958333333</c:v>
                </c:pt>
                <c:pt idx="5">
                  <c:v>1.1923519999999999</c:v>
                </c:pt>
                <c:pt idx="6">
                  <c:v>1.076447199785503</c:v>
                </c:pt>
                <c:pt idx="7">
                  <c:v>0.89319470112632571</c:v>
                </c:pt>
                <c:pt idx="8">
                  <c:v>0.11286333333333333</c:v>
                </c:pt>
                <c:pt idx="9">
                  <c:v>0.11824421349322206</c:v>
                </c:pt>
                <c:pt idx="10">
                  <c:v>1.1867182273585608</c:v>
                </c:pt>
                <c:pt idx="11">
                  <c:v>0.36326333333333338</c:v>
                </c:pt>
                <c:pt idx="12">
                  <c:v>9.4412499999999996E-2</c:v>
                </c:pt>
                <c:pt idx="13">
                  <c:v>0.15833333333333333</c:v>
                </c:pt>
                <c:pt idx="14">
                  <c:v>0.19128210000000001</c:v>
                </c:pt>
                <c:pt idx="15">
                  <c:v>0.10665319466666667</c:v>
                </c:pt>
                <c:pt idx="16">
                  <c:v>2.0183708333333334</c:v>
                </c:pt>
                <c:pt idx="17">
                  <c:v>2.256764473702964E-2</c:v>
                </c:pt>
              </c:numCache>
            </c:numRef>
          </c:val>
          <c:extLst>
            <c:ext xmlns:c16="http://schemas.microsoft.com/office/drawing/2014/chart" uri="{C3380CC4-5D6E-409C-BE32-E72D297353CC}">
              <c16:uniqueId val="{00000000-23E1-4E0E-AE82-C31C97A47BFE}"/>
            </c:ext>
          </c:extLst>
        </c:ser>
        <c:dLbls>
          <c:showLegendKey val="0"/>
          <c:showVal val="0"/>
          <c:showCatName val="0"/>
          <c:showSerName val="0"/>
          <c:showPercent val="0"/>
          <c:showBubbleSize val="0"/>
        </c:dLbls>
        <c:gapWidth val="219"/>
        <c:overlap val="-27"/>
        <c:axId val="2001549679"/>
        <c:axId val="2001550511"/>
      </c:barChart>
      <c:catAx>
        <c:axId val="200154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01550511"/>
        <c:crosses val="autoZero"/>
        <c:auto val="1"/>
        <c:lblAlgn val="ctr"/>
        <c:lblOffset val="100"/>
        <c:noMultiLvlLbl val="0"/>
      </c:catAx>
      <c:valAx>
        <c:axId val="2001550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001549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PAC!$C$3:$C$5</c:f>
              <c:numCache>
                <c:formatCode>General</c:formatCode>
                <c:ptCount val="3"/>
                <c:pt idx="0">
                  <c:v>7</c:v>
                </c:pt>
                <c:pt idx="1">
                  <c:v>15</c:v>
                </c:pt>
                <c:pt idx="2">
                  <c:v>50</c:v>
                </c:pt>
              </c:numCache>
            </c:numRef>
          </c:xVal>
          <c:yVal>
            <c:numRef>
              <c:f>PAC!$G$3:$G$5</c:f>
              <c:numCache>
                <c:formatCode>General</c:formatCode>
                <c:ptCount val="3"/>
                <c:pt idx="0">
                  <c:v>3180</c:v>
                </c:pt>
                <c:pt idx="1">
                  <c:v>3790</c:v>
                </c:pt>
                <c:pt idx="2">
                  <c:v>14000</c:v>
                </c:pt>
              </c:numCache>
            </c:numRef>
          </c:yVal>
          <c:smooth val="0"/>
          <c:extLst>
            <c:ext xmlns:c16="http://schemas.microsoft.com/office/drawing/2014/chart" uri="{C3380CC4-5D6E-409C-BE32-E72D297353CC}">
              <c16:uniqueId val="{00000000-B144-488F-9142-2AA4D0C68BFE}"/>
            </c:ext>
          </c:extLst>
        </c:ser>
        <c:dLbls>
          <c:showLegendKey val="0"/>
          <c:showVal val="0"/>
          <c:showCatName val="0"/>
          <c:showSerName val="0"/>
          <c:showPercent val="0"/>
          <c:showBubbleSize val="0"/>
        </c:dLbls>
        <c:axId val="981236096"/>
        <c:axId val="981236512"/>
      </c:scatterChart>
      <c:valAx>
        <c:axId val="9812360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1236512"/>
        <c:crosses val="autoZero"/>
        <c:crossBetween val="midCat"/>
      </c:valAx>
      <c:valAx>
        <c:axId val="98123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81236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effectLst/>
              </a:rPr>
              <a:t>Trajectoire de réduction GWP</a:t>
            </a:r>
            <a:endParaRPr lang="fr-CH" sz="1050">
              <a:effectLst/>
            </a:endParaRPr>
          </a:p>
          <a:p>
            <a:pPr>
              <a:defRPr/>
            </a:pPr>
            <a:r>
              <a:rPr lang="fr-CH" sz="1200" b="1" i="0" baseline="0">
                <a:effectLst/>
              </a:rPr>
              <a:t>Transformation</a:t>
            </a:r>
            <a:endParaRPr lang="fr-CH" sz="1050">
              <a:effectLst/>
            </a:endParaRPr>
          </a:p>
          <a:p>
            <a:pPr>
              <a:defRPr/>
            </a:pPr>
            <a:r>
              <a:rPr lang="fr-CH" sz="1200" b="1" i="0" baseline="0">
                <a:effectLst/>
              </a:rPr>
              <a:t>selon la norme SIA 390/1</a:t>
            </a:r>
            <a:endParaRPr lang="fr-CH"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Cibles!$A$63</c:f>
              <c:strCache>
                <c:ptCount val="1"/>
                <c:pt idx="0">
                  <c:v>Construction</c:v>
                </c:pt>
              </c:strCache>
            </c:strRef>
          </c:tx>
          <c:spPr>
            <a:solidFill>
              <a:schemeClr val="accent1"/>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A-121D-4228-AA87-413A950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Cibles!$B$63:$G$63</c:f>
              <c:numCache>
                <c:formatCode>General</c:formatCode>
                <c:ptCount val="6"/>
                <c:pt idx="0">
                  <c:v>4</c:v>
                </c:pt>
                <c:pt idx="1">
                  <c:v>3</c:v>
                </c:pt>
                <c:pt idx="2">
                  <c:v>2</c:v>
                </c:pt>
                <c:pt idx="3">
                  <c:v>1.2</c:v>
                </c:pt>
                <c:pt idx="4">
                  <c:v>0.6</c:v>
                </c:pt>
                <c:pt idx="5">
                  <c:v>0</c:v>
                </c:pt>
              </c:numCache>
            </c:numRef>
          </c:val>
          <c:extLst>
            <c:ext xmlns:c16="http://schemas.microsoft.com/office/drawing/2014/chart" uri="{C3380CC4-5D6E-409C-BE32-E72D297353CC}">
              <c16:uniqueId val="{00000000-121D-4228-AA87-413A95023F31}"/>
            </c:ext>
          </c:extLst>
        </c:ser>
        <c:ser>
          <c:idx val="1"/>
          <c:order val="1"/>
          <c:tx>
            <c:strRef>
              <c:f>Cibles!$A$64</c:f>
              <c:strCache>
                <c:ptCount val="1"/>
                <c:pt idx="0">
                  <c:v>Exploitation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Cibles!$B$64:$G$64</c:f>
              <c:numCache>
                <c:formatCode>General</c:formatCode>
                <c:ptCount val="6"/>
                <c:pt idx="0">
                  <c:v>5</c:v>
                </c:pt>
                <c:pt idx="1">
                  <c:v>4</c:v>
                </c:pt>
                <c:pt idx="2">
                  <c:v>3.5</c:v>
                </c:pt>
                <c:pt idx="3">
                  <c:v>3</c:v>
                </c:pt>
                <c:pt idx="4">
                  <c:v>1.5</c:v>
                </c:pt>
                <c:pt idx="5">
                  <c:v>0.5</c:v>
                </c:pt>
              </c:numCache>
            </c:numRef>
          </c:val>
          <c:extLst>
            <c:ext xmlns:c16="http://schemas.microsoft.com/office/drawing/2014/chart" uri="{C3380CC4-5D6E-409C-BE32-E72D297353CC}">
              <c16:uniqueId val="{00000001-121D-4228-AA87-413A95023F31}"/>
            </c:ext>
          </c:extLst>
        </c:ser>
        <c:dLbls>
          <c:showLegendKey val="0"/>
          <c:showVal val="0"/>
          <c:showCatName val="0"/>
          <c:showSerName val="0"/>
          <c:showPercent val="0"/>
          <c:showBubbleSize val="0"/>
        </c:dLbls>
        <c:gapWidth val="50"/>
        <c:overlap val="100"/>
        <c:axId val="873943823"/>
        <c:axId val="873947567"/>
      </c:barChart>
      <c:catAx>
        <c:axId val="87394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7567"/>
        <c:crosses val="autoZero"/>
        <c:auto val="1"/>
        <c:lblAlgn val="ctr"/>
        <c:lblOffset val="100"/>
        <c:noMultiLvlLbl val="0"/>
      </c:catAx>
      <c:valAx>
        <c:axId val="873947567"/>
        <c:scaling>
          <c:orientation val="minMax"/>
          <c:max val="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100" b="0" i="0" baseline="0">
                    <a:effectLst/>
                  </a:rPr>
                  <a:t> kgCO</a:t>
                </a:r>
                <a:r>
                  <a:rPr lang="fr-CH" sz="1100" b="0" i="0" baseline="-25000">
                    <a:effectLst/>
                  </a:rPr>
                  <a:t>2éq</a:t>
                </a:r>
                <a:r>
                  <a:rPr lang="fr-CH" sz="1100" b="0" i="0" baseline="0">
                    <a:effectLst/>
                  </a:rPr>
                  <a:t>/m</a:t>
                </a:r>
                <a:r>
                  <a:rPr lang="fr-CH" sz="1100" b="0" i="0" baseline="30000">
                    <a:effectLst/>
                  </a:rPr>
                  <a:t>2</a:t>
                </a:r>
                <a:r>
                  <a:rPr lang="fr-CH" sz="1100" b="0" i="0" baseline="-25000">
                    <a:effectLst/>
                  </a:rPr>
                  <a:t>SRE</a:t>
                </a:r>
                <a:r>
                  <a:rPr lang="fr-CH" sz="1100" b="0" i="0" baseline="0">
                    <a:effectLst/>
                  </a:rPr>
                  <a:t>.an</a:t>
                </a:r>
                <a:endParaRPr lang="fr-CH" sz="6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3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100" b="1" i="0" u="none" strike="noStrike" baseline="0"/>
              <a:t>Trajectoire de réduction GWP</a:t>
            </a:r>
          </a:p>
          <a:p>
            <a:pPr>
              <a:defRPr/>
            </a:pPr>
            <a:r>
              <a:rPr lang="fr-CH" sz="1100" b="1" i="0" u="none" strike="noStrike" baseline="0"/>
              <a:t>Construction</a:t>
            </a:r>
          </a:p>
          <a:p>
            <a:pPr>
              <a:defRPr/>
            </a:pPr>
            <a:r>
              <a:rPr lang="fr-CH" sz="1100" b="1" i="0" u="none" strike="noStrike" baseline="0"/>
              <a:t>selon la norme SIA 390/1</a:t>
            </a:r>
            <a:endParaRPr lang="fr-CH" sz="1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stacked"/>
        <c:varyColors val="0"/>
        <c:ser>
          <c:idx val="0"/>
          <c:order val="0"/>
          <c:tx>
            <c:strRef>
              <c:f>Cibles!$A$63</c:f>
              <c:strCache>
                <c:ptCount val="1"/>
                <c:pt idx="0">
                  <c:v>Construction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Cibles!$B$58:$G$58</c:f>
              <c:numCache>
                <c:formatCode>General</c:formatCode>
                <c:ptCount val="6"/>
                <c:pt idx="0">
                  <c:v>9</c:v>
                </c:pt>
                <c:pt idx="1">
                  <c:v>8</c:v>
                </c:pt>
                <c:pt idx="2">
                  <c:v>7</c:v>
                </c:pt>
                <c:pt idx="3">
                  <c:v>6</c:v>
                </c:pt>
                <c:pt idx="4">
                  <c:v>3.5</c:v>
                </c:pt>
                <c:pt idx="5">
                  <c:v>1</c:v>
                </c:pt>
              </c:numCache>
            </c:numRef>
          </c:val>
          <c:extLst>
            <c:ext xmlns:c16="http://schemas.microsoft.com/office/drawing/2014/chart" uri="{C3380CC4-5D6E-409C-BE32-E72D297353CC}">
              <c16:uniqueId val="{00000000-925B-4409-ACA8-6C4878161744}"/>
            </c:ext>
          </c:extLst>
        </c:ser>
        <c:ser>
          <c:idx val="1"/>
          <c:order val="1"/>
          <c:tx>
            <c:strRef>
              <c:f>Cibles!$A$64</c:f>
              <c:strCache>
                <c:ptCount val="1"/>
                <c:pt idx="0">
                  <c:v>Exploitation</c:v>
                </c:pt>
              </c:strCache>
            </c:strRef>
          </c:tx>
          <c:spPr>
            <a:solidFill>
              <a:schemeClr val="accent3"/>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925B-4409-ACA8-6C48781617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Cibles!$B$62:$G$62</c:f>
              <c:numCache>
                <c:formatCode>General</c:formatCode>
                <c:ptCount val="6"/>
                <c:pt idx="0">
                  <c:v>2025</c:v>
                </c:pt>
                <c:pt idx="1">
                  <c:v>2030</c:v>
                </c:pt>
                <c:pt idx="2">
                  <c:v>2035</c:v>
                </c:pt>
                <c:pt idx="3">
                  <c:v>2040</c:v>
                </c:pt>
                <c:pt idx="4">
                  <c:v>2045</c:v>
                </c:pt>
                <c:pt idx="5">
                  <c:v>2050</c:v>
                </c:pt>
              </c:numCache>
            </c:numRef>
          </c:cat>
          <c:val>
            <c:numRef>
              <c:f>Cibles!$B$59:$G$59</c:f>
              <c:numCache>
                <c:formatCode>General</c:formatCode>
                <c:ptCount val="6"/>
                <c:pt idx="0">
                  <c:v>2</c:v>
                </c:pt>
                <c:pt idx="1">
                  <c:v>1.6</c:v>
                </c:pt>
                <c:pt idx="2">
                  <c:v>1.1000000000000001</c:v>
                </c:pt>
                <c:pt idx="3">
                  <c:v>0.7</c:v>
                </c:pt>
                <c:pt idx="4">
                  <c:v>0.4</c:v>
                </c:pt>
                <c:pt idx="5">
                  <c:v>0</c:v>
                </c:pt>
              </c:numCache>
            </c:numRef>
          </c:val>
          <c:extLst>
            <c:ext xmlns:c16="http://schemas.microsoft.com/office/drawing/2014/chart" uri="{C3380CC4-5D6E-409C-BE32-E72D297353CC}">
              <c16:uniqueId val="{00000001-925B-4409-ACA8-6C4878161744}"/>
            </c:ext>
          </c:extLst>
        </c:ser>
        <c:dLbls>
          <c:showLegendKey val="0"/>
          <c:showVal val="0"/>
          <c:showCatName val="0"/>
          <c:showSerName val="0"/>
          <c:showPercent val="0"/>
          <c:showBubbleSize val="0"/>
        </c:dLbls>
        <c:gapWidth val="50"/>
        <c:overlap val="100"/>
        <c:axId val="873943823"/>
        <c:axId val="873947567"/>
      </c:barChart>
      <c:catAx>
        <c:axId val="87394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7567"/>
        <c:crosses val="autoZero"/>
        <c:auto val="1"/>
        <c:lblAlgn val="ctr"/>
        <c:lblOffset val="100"/>
        <c:noMultiLvlLbl val="0"/>
      </c:catAx>
      <c:valAx>
        <c:axId val="873947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CH" sz="1100" b="0" i="0" baseline="0">
                    <a:effectLst/>
                  </a:rPr>
                  <a:t> kgCO</a:t>
                </a:r>
                <a:r>
                  <a:rPr lang="fr-CH" sz="1100" b="0" i="0" baseline="-25000">
                    <a:effectLst/>
                  </a:rPr>
                  <a:t>2éq</a:t>
                </a:r>
                <a:r>
                  <a:rPr lang="fr-CH" sz="1100" b="0" i="0" baseline="0">
                    <a:effectLst/>
                  </a:rPr>
                  <a:t>/m</a:t>
                </a:r>
                <a:r>
                  <a:rPr lang="fr-CH" sz="1100" b="0" i="0" baseline="30000">
                    <a:effectLst/>
                  </a:rPr>
                  <a:t>2</a:t>
                </a:r>
                <a:r>
                  <a:rPr lang="fr-CH" sz="1100" b="0" i="0" baseline="-25000">
                    <a:effectLst/>
                  </a:rPr>
                  <a:t>SRE</a:t>
                </a:r>
                <a:r>
                  <a:rPr lang="fr-CH" sz="1100" b="0" i="0" baseline="0">
                    <a:effectLst/>
                  </a:rPr>
                  <a:t>.an</a:t>
                </a:r>
                <a:endParaRPr lang="fr-CH" sz="6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73943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rot="0" spcFirstLastPara="1" vertOverflow="ellipsis" vert="horz" wrap="square" lIns="38100" tIns="19050" rIns="38100" bIns="19050" anchor="ctr" anchorCtr="1" compatLnSpc="0"/>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kumimoji="0" lang="fr-CH" sz="1600" b="1" i="0" u="none" strike="noStrike" kern="1200" cap="none" spc="0" normalizeH="0" baseline="0" noProof="0">
                <a:ln>
                  <a:noFill/>
                </a:ln>
                <a:solidFill>
                  <a:sysClr val="windowText" lastClr="000000">
                    <a:lumMod val="75000"/>
                    <a:lumOff val="25000"/>
                  </a:sysClr>
                </a:solidFill>
                <a:effectLst/>
                <a:uLnTx/>
                <a:uFillTx/>
                <a:latin typeface="Calibri"/>
              </a:rPr>
              <a:t>Détail de la phase construction décomposée selon la classification ECCC avec leurs valeurs en </a:t>
            </a:r>
            <a:r>
              <a:rPr lang="fr-CH" sz="1600" b="1" i="0" u="none" strike="noStrike" baseline="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kgCO</a:t>
            </a:r>
            <a:r>
              <a:rPr lang="fr-CH" sz="1600" b="1" i="0" u="none" strike="noStrike" baseline="-2500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2éq</a:t>
            </a:r>
            <a:r>
              <a:rPr lang="fr-CH" sz="1600" b="1" i="0" u="none" strike="noStrike" baseline="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/m</a:t>
            </a:r>
            <a:r>
              <a:rPr lang="fr-CH" sz="1600" b="1" i="0" u="none" strike="noStrike" baseline="3000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2</a:t>
            </a:r>
            <a:r>
              <a:rPr lang="fr-CH" sz="1600" b="1" i="0" u="none" strike="noStrike" baseline="-2500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SRE</a:t>
            </a:r>
            <a:r>
              <a:rPr lang="fr-CH" sz="1600" b="1" i="0" u="none" strike="noStrike" baseline="0">
                <a:solidFill>
                  <a:sysClr val="windowText" lastClr="000000">
                    <a:lumMod val="65000"/>
                    <a:lumOff val="35000"/>
                  </a:sysClr>
                </a:solidFill>
                <a:effectLst/>
                <a:latin typeface="Calibri"/>
                <a:ea typeface="Calibri" panose="020F0502020204030204" pitchFamily="34" charset="0"/>
                <a:cs typeface="Calibri" panose="020F0502020204030204" pitchFamily="34" charset="0"/>
              </a:rPr>
              <a:t>.an</a:t>
            </a:r>
          </a:p>
        </cx:rich>
      </cx:tx>
    </cx:title>
    <cx:plotArea>
      <cx:plotAreaRegion>
        <cx:plotSurface>
          <cx:spPr>
            <a:ln>
              <a:noFill/>
            </a:ln>
          </cx:spPr>
        </cx:plotSurface>
        <cx:series layoutId="sunburst" uniqueId="{53442358-CBBC-4C04-AD96-0D61FEB29D9B}" formatIdx="0">
          <cx:dataLabels pos="ctr">
            <cx:txPr>
              <a:bodyPr vertOverflow="overflow" horzOverflow="overflow" wrap="square" lIns="0" tIns="0" rIns="0" bIns="0"/>
              <a:lstStyle/>
              <a:p>
                <a:pPr algn="ctr" rtl="0">
                  <a:defRPr sz="800" b="0" i="0">
                    <a:solidFill>
                      <a:srgbClr val="000000"/>
                    </a:solidFill>
                    <a:latin typeface="Calibri" panose="020F0502020204030204" pitchFamily="34" charset="0"/>
                    <a:ea typeface="Calibri" panose="020F0502020204030204" pitchFamily="34" charset="0"/>
                    <a:cs typeface="Calibri" panose="020F0502020204030204" pitchFamily="34" charset="0"/>
                  </a:defRPr>
                </a:pPr>
                <a:endParaRPr sz="800"/>
              </a:p>
            </cx:txPr>
            <cx:visibility seriesName="0" categoryName="1" value="0"/>
            <cx:separator>; </cx:separator>
            <cx:dataLabelHidden idx="0"/>
            <cx:dataLabelHidden idx="2"/>
            <cx:dataLabelHidden idx="6"/>
            <cx:dataLabelHidden idx="12"/>
            <cx:dataLabelHidden idx="21"/>
          </cx:dataLabels>
          <cx:dataId val="0"/>
        </cx:series>
      </cx:plotAreaRegion>
    </cx:plotArea>
    <cx:legend pos="b" align="ctr" overlay="0"/>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8">
  <cs:axisTitle>
    <cs:lnRef idx="0"/>
    <cs:fillRef idx="0"/>
    <cs:effectRef idx="0"/>
    <cs:fontRef idx="minor">
      <a:schemeClr val="dk1">
        <a:lumMod val="65000"/>
        <a:lumOff val="35000"/>
      </a:schemeClr>
    </cs:fontRef>
    <cs:defRPr sz="900"/>
  </cs:axisTitle>
  <cs:categoryAxis>
    <cs:lnRef idx="0"/>
    <cs:fillRef idx="0"/>
    <cs:effectRef idx="0"/>
    <cs:fontRef idx="minor">
      <a:schemeClr val="dk1">
        <a:lumMod val="65000"/>
        <a:lumOff val="35000"/>
      </a:schemeClr>
    </cs:fontRef>
    <cs:defRPr sz="9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cs:chartArea>
  <cs:dataLabel>
    <cs:lnRef idx="0"/>
    <cs:fillRef idx="0"/>
    <cs:effectRef idx="0"/>
    <cs:fontRef idx="minor">
      <a:schemeClr val="lt1"/>
    </cs:fontRef>
    <cs:defRPr sz="900" b="1"/>
    <cs:bodyPr lIns="38100" tIns="19050" rIns="38100" bIns="19050">
      <a:spAutoFit/>
    </cs:bodyPr>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w="9525">
        <a:solidFill>
          <a:schemeClr val="lt1"/>
        </a:solidFill>
      </a:ln>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65000"/>
        <a:lumOff val="35000"/>
      </a:schemeClr>
    </cs:fontRef>
    <cs:defRPr sz="1800" b="1"/>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dk1">
        <a:lumMod val="65000"/>
        <a:lumOff val="35000"/>
      </a:schemeClr>
    </cs:fontRef>
    <cs:defRPr sz="9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microsoft.com/office/2014/relationships/chartEx" Target="../charts/chartEx1.xml"/><Relationship Id="rId6" Type="http://schemas.openxmlformats.org/officeDocument/2006/relationships/chart" Target="../charts/chart4.xml"/><Relationship Id="rId5" Type="http://schemas.openxmlformats.org/officeDocument/2006/relationships/image" Target="../media/image2.png"/><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png"/><Relationship Id="rId6" Type="http://schemas.openxmlformats.org/officeDocument/2006/relationships/image" Target="../media/image16.png"/><Relationship Id="rId5" Type="http://schemas.openxmlformats.org/officeDocument/2006/relationships/image" Target="../media/image15.png"/><Relationship Id="rId4"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jpeg"/><Relationship Id="rId2" Type="http://schemas.openxmlformats.org/officeDocument/2006/relationships/image" Target="../media/image18.jpeg"/><Relationship Id="rId1" Type="http://schemas.openxmlformats.org/officeDocument/2006/relationships/image" Target="../media/image17.jpeg"/></Relationships>
</file>

<file path=xl/drawings/_rels/drawing11.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22.png"/><Relationship Id="rId7" Type="http://schemas.openxmlformats.org/officeDocument/2006/relationships/image" Target="../media/image26.png"/><Relationship Id="rId12" Type="http://schemas.openxmlformats.org/officeDocument/2006/relationships/image" Target="../media/image31.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5.png"/><Relationship Id="rId11" Type="http://schemas.openxmlformats.org/officeDocument/2006/relationships/image" Target="../media/image30.png"/><Relationship Id="rId5" Type="http://schemas.openxmlformats.org/officeDocument/2006/relationships/image" Target="../media/image24.png"/><Relationship Id="rId10" Type="http://schemas.openxmlformats.org/officeDocument/2006/relationships/image" Target="../media/image29.png"/><Relationship Id="rId4" Type="http://schemas.openxmlformats.org/officeDocument/2006/relationships/image" Target="../media/image23.png"/><Relationship Id="rId9" Type="http://schemas.openxmlformats.org/officeDocument/2006/relationships/image" Target="../media/image28.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29.png"/><Relationship Id="rId2" Type="http://schemas.openxmlformats.org/officeDocument/2006/relationships/image" Target="../media/image33.png"/><Relationship Id="rId1" Type="http://schemas.openxmlformats.org/officeDocument/2006/relationships/image" Target="../media/image32.png"/><Relationship Id="rId6" Type="http://schemas.openxmlformats.org/officeDocument/2006/relationships/image" Target="../media/image37.png"/><Relationship Id="rId5" Type="http://schemas.openxmlformats.org/officeDocument/2006/relationships/image" Target="../media/image36.png"/><Relationship Id="rId4" Type="http://schemas.openxmlformats.org/officeDocument/2006/relationships/image" Target="../media/image35.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12</xdr:col>
      <xdr:colOff>504826</xdr:colOff>
      <xdr:row>12</xdr:row>
      <xdr:rowOff>85725</xdr:rowOff>
    </xdr:from>
    <xdr:to>
      <xdr:col>14</xdr:col>
      <xdr:colOff>57150</xdr:colOff>
      <xdr:row>14</xdr:row>
      <xdr:rowOff>115576</xdr:rowOff>
    </xdr:to>
    <xdr:pic>
      <xdr:nvPicPr>
        <xdr:cNvPr id="6" name="Image 5">
          <a:extLst>
            <a:ext uri="{FF2B5EF4-FFF2-40B4-BE49-F238E27FC236}">
              <a16:creationId xmlns:a16="http://schemas.microsoft.com/office/drawing/2014/main" id="{1E0E6DF2-472F-42A8-BE67-05E6A2C08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5051" y="2895600"/>
          <a:ext cx="1228724" cy="429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9525</xdr:rowOff>
    </xdr:from>
    <xdr:to>
      <xdr:col>2</xdr:col>
      <xdr:colOff>581025</xdr:colOff>
      <xdr:row>0</xdr:row>
      <xdr:rowOff>676325</xdr:rowOff>
    </xdr:to>
    <xdr:pic>
      <xdr:nvPicPr>
        <xdr:cNvPr id="4" name="Image 3">
          <a:extLst>
            <a:ext uri="{FF2B5EF4-FFF2-40B4-BE49-F238E27FC236}">
              <a16:creationId xmlns:a16="http://schemas.microsoft.com/office/drawing/2014/main" id="{3E5196A0-6F8C-4C37-A734-1E76CDF084C8}"/>
            </a:ext>
          </a:extLst>
        </xdr:cNvPr>
        <xdr:cNvPicPr>
          <a:picLocks noChangeAspect="1"/>
        </xdr:cNvPicPr>
      </xdr:nvPicPr>
      <xdr:blipFill>
        <a:blip xmlns:r="http://schemas.openxmlformats.org/officeDocument/2006/relationships" r:embed="rId2"/>
        <a:stretch>
          <a:fillRect/>
        </a:stretch>
      </xdr:blipFill>
      <xdr:spPr>
        <a:xfrm>
          <a:off x="0" y="9525"/>
          <a:ext cx="1619250" cy="6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xdr:colOff>
      <xdr:row>0</xdr:row>
      <xdr:rowOff>11430</xdr:rowOff>
    </xdr:from>
    <xdr:to>
      <xdr:col>2</xdr:col>
      <xdr:colOff>567690</xdr:colOff>
      <xdr:row>2</xdr:row>
      <xdr:rowOff>15290</xdr:rowOff>
    </xdr:to>
    <xdr:pic>
      <xdr:nvPicPr>
        <xdr:cNvPr id="3" name="Image 2">
          <a:extLst>
            <a:ext uri="{FF2B5EF4-FFF2-40B4-BE49-F238E27FC236}">
              <a16:creationId xmlns:a16="http://schemas.microsoft.com/office/drawing/2014/main" id="{2F1B44CB-6E73-4A5B-B6A3-7DC6388BB694}"/>
            </a:ext>
          </a:extLst>
        </xdr:cNvPr>
        <xdr:cNvPicPr>
          <a:picLocks noChangeAspect="1"/>
        </xdr:cNvPicPr>
      </xdr:nvPicPr>
      <xdr:blipFill>
        <a:blip xmlns:r="http://schemas.openxmlformats.org/officeDocument/2006/relationships" r:embed="rId1"/>
        <a:stretch>
          <a:fillRect/>
        </a:stretch>
      </xdr:blipFill>
      <xdr:spPr>
        <a:xfrm>
          <a:off x="17145" y="11430"/>
          <a:ext cx="1628775" cy="674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507467</xdr:colOff>
      <xdr:row>79</xdr:row>
      <xdr:rowOff>33620</xdr:rowOff>
    </xdr:from>
    <xdr:to>
      <xdr:col>13</xdr:col>
      <xdr:colOff>5116</xdr:colOff>
      <xdr:row>110</xdr:row>
      <xdr:rowOff>57328</xdr:rowOff>
    </xdr:to>
    <mc:AlternateContent xmlns:mc="http://schemas.openxmlformats.org/markup-compatibility/2006">
      <mc:Choice xmlns:cx1="http://schemas.microsoft.com/office/drawing/2015/9/8/chartex" Requires="cx1">
        <xdr:graphicFrame macro="">
          <xdr:nvGraphicFramePr>
            <xdr:cNvPr id="6" name="Graphique 5">
              <a:extLst>
                <a:ext uri="{FF2B5EF4-FFF2-40B4-BE49-F238E27FC236}">
                  <a16:creationId xmlns:a16="http://schemas.microsoft.com/office/drawing/2014/main" id="{178D853C-ABC1-4A79-BB1A-9BCFA1BC2AD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756117" y="18121595"/>
              <a:ext cx="8832149" cy="6224483"/>
            </a:xfrm>
            <a:prstGeom prst="rect">
              <a:avLst/>
            </a:prstGeom>
            <a:solidFill>
              <a:prstClr val="white"/>
            </a:solidFill>
            <a:ln w="1">
              <a:solidFill>
                <a:prstClr val="green"/>
              </a:solidFill>
            </a:ln>
          </xdr:spPr>
          <xdr:txBody>
            <a:bodyPr vertOverflow="clip" horzOverflow="clip"/>
            <a:lstStyle/>
            <a:p>
              <a:r>
                <a:rPr lang="fr-CH" sz="1100"/>
                <a:t>Ce graphique n’est pas disponible dans votre version d’Excel.
La modification de cette forme ou l’enregistrement de ce classeur dans un autre format de fichier endommagera le graphique de façon irréparable.</a:t>
              </a:r>
            </a:p>
          </xdr:txBody>
        </xdr:sp>
      </mc:Fallback>
    </mc:AlternateContent>
    <xdr:clientData/>
  </xdr:twoCellAnchor>
  <xdr:twoCellAnchor>
    <xdr:from>
      <xdr:col>7</xdr:col>
      <xdr:colOff>369794</xdr:colOff>
      <xdr:row>52</xdr:row>
      <xdr:rowOff>7620</xdr:rowOff>
    </xdr:from>
    <xdr:to>
      <xdr:col>12</xdr:col>
      <xdr:colOff>590102</xdr:colOff>
      <xdr:row>75</xdr:row>
      <xdr:rowOff>56029</xdr:rowOff>
    </xdr:to>
    <xdr:graphicFrame macro="">
      <xdr:nvGraphicFramePr>
        <xdr:cNvPr id="9" name="Graphique 8">
          <a:extLst>
            <a:ext uri="{FF2B5EF4-FFF2-40B4-BE49-F238E27FC236}">
              <a16:creationId xmlns:a16="http://schemas.microsoft.com/office/drawing/2014/main" id="{A8711F6F-5A7C-49E1-BE66-28737D34C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87407</xdr:colOff>
      <xdr:row>115</xdr:row>
      <xdr:rowOff>33617</xdr:rowOff>
    </xdr:from>
    <xdr:to>
      <xdr:col>12</xdr:col>
      <xdr:colOff>811307</xdr:colOff>
      <xdr:row>139</xdr:row>
      <xdr:rowOff>179295</xdr:rowOff>
    </xdr:to>
    <xdr:graphicFrame macro="">
      <xdr:nvGraphicFramePr>
        <xdr:cNvPr id="11" name="Graphique 10">
          <a:extLst>
            <a:ext uri="{FF2B5EF4-FFF2-40B4-BE49-F238E27FC236}">
              <a16:creationId xmlns:a16="http://schemas.microsoft.com/office/drawing/2014/main" id="{6E59C319-6DA0-40B3-8439-229A63DBA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718458</xdr:colOff>
      <xdr:row>77</xdr:row>
      <xdr:rowOff>57150</xdr:rowOff>
    </xdr:from>
    <xdr:to>
      <xdr:col>7</xdr:col>
      <xdr:colOff>295275</xdr:colOff>
      <xdr:row>110</xdr:row>
      <xdr:rowOff>134470</xdr:rowOff>
    </xdr:to>
    <xdr:graphicFrame macro="">
      <xdr:nvGraphicFramePr>
        <xdr:cNvPr id="12" name="Graphique 11">
          <a:extLst>
            <a:ext uri="{FF2B5EF4-FFF2-40B4-BE49-F238E27FC236}">
              <a16:creationId xmlns:a16="http://schemas.microsoft.com/office/drawing/2014/main" id="{00DA0176-C526-4EDC-83F3-91BE8E06B2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40822</xdr:colOff>
      <xdr:row>0</xdr:row>
      <xdr:rowOff>1</xdr:rowOff>
    </xdr:from>
    <xdr:to>
      <xdr:col>1</xdr:col>
      <xdr:colOff>1352195</xdr:colOff>
      <xdr:row>2</xdr:row>
      <xdr:rowOff>17405</xdr:rowOff>
    </xdr:to>
    <xdr:pic>
      <xdr:nvPicPr>
        <xdr:cNvPr id="10" name="Image 9">
          <a:extLst>
            <a:ext uri="{FF2B5EF4-FFF2-40B4-BE49-F238E27FC236}">
              <a16:creationId xmlns:a16="http://schemas.microsoft.com/office/drawing/2014/main" id="{B6B5433C-35BF-4141-AFAB-DB6E1A127452}"/>
            </a:ext>
          </a:extLst>
        </xdr:cNvPr>
        <xdr:cNvPicPr>
          <a:picLocks noChangeAspect="1"/>
        </xdr:cNvPicPr>
      </xdr:nvPicPr>
      <xdr:blipFill>
        <a:blip xmlns:r="http://schemas.openxmlformats.org/officeDocument/2006/relationships" r:embed="rId5"/>
        <a:stretch>
          <a:fillRect/>
        </a:stretch>
      </xdr:blipFill>
      <xdr:spPr>
        <a:xfrm>
          <a:off x="40822" y="1"/>
          <a:ext cx="2301077" cy="958698"/>
        </a:xfrm>
        <a:prstGeom prst="rect">
          <a:avLst/>
        </a:prstGeom>
      </xdr:spPr>
    </xdr:pic>
    <xdr:clientData/>
  </xdr:twoCellAnchor>
  <xdr:twoCellAnchor>
    <xdr:from>
      <xdr:col>0</xdr:col>
      <xdr:colOff>515470</xdr:colOff>
      <xdr:row>115</xdr:row>
      <xdr:rowOff>33618</xdr:rowOff>
    </xdr:from>
    <xdr:to>
      <xdr:col>7</xdr:col>
      <xdr:colOff>2487706</xdr:colOff>
      <xdr:row>139</xdr:row>
      <xdr:rowOff>179294</xdr:rowOff>
    </xdr:to>
    <xdr:graphicFrame macro="">
      <xdr:nvGraphicFramePr>
        <xdr:cNvPr id="8" name="Graphique 7">
          <a:extLst>
            <a:ext uri="{FF2B5EF4-FFF2-40B4-BE49-F238E27FC236}">
              <a16:creationId xmlns:a16="http://schemas.microsoft.com/office/drawing/2014/main" id="{FA317907-482E-453F-BBDE-AC26470AB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692075</xdr:colOff>
      <xdr:row>91</xdr:row>
      <xdr:rowOff>52891</xdr:rowOff>
    </xdr:from>
    <xdr:to>
      <xdr:col>5</xdr:col>
      <xdr:colOff>1901679</xdr:colOff>
      <xdr:row>123</xdr:row>
      <xdr:rowOff>190197</xdr:rowOff>
    </xdr:to>
    <xdr:pic>
      <xdr:nvPicPr>
        <xdr:cNvPr id="2" name="Image 1">
          <a:extLst>
            <a:ext uri="{FF2B5EF4-FFF2-40B4-BE49-F238E27FC236}">
              <a16:creationId xmlns:a16="http://schemas.microsoft.com/office/drawing/2014/main" id="{0F57E95B-4EDA-47AE-87BF-F902E7C653B9}"/>
            </a:ext>
          </a:extLst>
        </xdr:cNvPr>
        <xdr:cNvPicPr>
          <a:picLocks noChangeAspect="1"/>
        </xdr:cNvPicPr>
      </xdr:nvPicPr>
      <xdr:blipFill>
        <a:blip xmlns:r="http://schemas.openxmlformats.org/officeDocument/2006/relationships" r:embed="rId1"/>
        <a:stretch>
          <a:fillRect/>
        </a:stretch>
      </xdr:blipFill>
      <xdr:spPr>
        <a:xfrm>
          <a:off x="1554928" y="15214450"/>
          <a:ext cx="5713499" cy="6571891"/>
        </a:xfrm>
        <a:prstGeom prst="rect">
          <a:avLst/>
        </a:prstGeom>
      </xdr:spPr>
    </xdr:pic>
    <xdr:clientData/>
  </xdr:twoCellAnchor>
  <xdr:twoCellAnchor editAs="oneCell">
    <xdr:from>
      <xdr:col>5</xdr:col>
      <xdr:colOff>2413747</xdr:colOff>
      <xdr:row>128</xdr:row>
      <xdr:rowOff>195879</xdr:rowOff>
    </xdr:from>
    <xdr:to>
      <xdr:col>7</xdr:col>
      <xdr:colOff>1143015</xdr:colOff>
      <xdr:row>152</xdr:row>
      <xdr:rowOff>185455</xdr:rowOff>
    </xdr:to>
    <xdr:pic>
      <xdr:nvPicPr>
        <xdr:cNvPr id="3" name="Image 2">
          <a:extLst>
            <a:ext uri="{FF2B5EF4-FFF2-40B4-BE49-F238E27FC236}">
              <a16:creationId xmlns:a16="http://schemas.microsoft.com/office/drawing/2014/main" id="{966CD8C1-1F53-4209-8401-C85E3D344526}"/>
            </a:ext>
          </a:extLst>
        </xdr:cNvPr>
        <xdr:cNvPicPr>
          <a:picLocks noChangeAspect="1"/>
        </xdr:cNvPicPr>
      </xdr:nvPicPr>
      <xdr:blipFill>
        <a:blip xmlns:r="http://schemas.openxmlformats.org/officeDocument/2006/relationships" r:embed="rId2"/>
        <a:stretch>
          <a:fillRect/>
        </a:stretch>
      </xdr:blipFill>
      <xdr:spPr>
        <a:xfrm>
          <a:off x="7792571" y="22820555"/>
          <a:ext cx="5721119" cy="3782418"/>
        </a:xfrm>
        <a:prstGeom prst="rect">
          <a:avLst/>
        </a:prstGeom>
      </xdr:spPr>
    </xdr:pic>
    <xdr:clientData/>
  </xdr:twoCellAnchor>
  <xdr:twoCellAnchor editAs="oneCell">
    <xdr:from>
      <xdr:col>5</xdr:col>
      <xdr:colOff>2343821</xdr:colOff>
      <xdr:row>91</xdr:row>
      <xdr:rowOff>94130</xdr:rowOff>
    </xdr:from>
    <xdr:to>
      <xdr:col>7</xdr:col>
      <xdr:colOff>1403499</xdr:colOff>
      <xdr:row>110</xdr:row>
      <xdr:rowOff>56841</xdr:rowOff>
    </xdr:to>
    <xdr:pic>
      <xdr:nvPicPr>
        <xdr:cNvPr id="4" name="Image 3">
          <a:extLst>
            <a:ext uri="{FF2B5EF4-FFF2-40B4-BE49-F238E27FC236}">
              <a16:creationId xmlns:a16="http://schemas.microsoft.com/office/drawing/2014/main" id="{E92498F1-14A0-475F-8619-62F737850836}"/>
            </a:ext>
          </a:extLst>
        </xdr:cNvPr>
        <xdr:cNvPicPr>
          <a:picLocks noChangeAspect="1"/>
        </xdr:cNvPicPr>
      </xdr:nvPicPr>
      <xdr:blipFill>
        <a:blip xmlns:r="http://schemas.openxmlformats.org/officeDocument/2006/relationships" r:embed="rId3"/>
        <a:stretch>
          <a:fillRect/>
        </a:stretch>
      </xdr:blipFill>
      <xdr:spPr>
        <a:xfrm>
          <a:off x="7722645" y="15255689"/>
          <a:ext cx="6057301" cy="3778932"/>
        </a:xfrm>
        <a:prstGeom prst="rect">
          <a:avLst/>
        </a:prstGeom>
      </xdr:spPr>
    </xdr:pic>
    <xdr:clientData/>
  </xdr:twoCellAnchor>
  <xdr:twoCellAnchor editAs="oneCell">
    <xdr:from>
      <xdr:col>5</xdr:col>
      <xdr:colOff>2355475</xdr:colOff>
      <xdr:row>109</xdr:row>
      <xdr:rowOff>196102</xdr:rowOff>
    </xdr:from>
    <xdr:to>
      <xdr:col>7</xdr:col>
      <xdr:colOff>1365747</xdr:colOff>
      <xdr:row>129</xdr:row>
      <xdr:rowOff>77263</xdr:rowOff>
    </xdr:to>
    <xdr:pic>
      <xdr:nvPicPr>
        <xdr:cNvPr id="5" name="Image 4">
          <a:extLst>
            <a:ext uri="{FF2B5EF4-FFF2-40B4-BE49-F238E27FC236}">
              <a16:creationId xmlns:a16="http://schemas.microsoft.com/office/drawing/2014/main" id="{04E5CE0B-5B93-4076-9511-EDF43C688748}"/>
            </a:ext>
          </a:extLst>
        </xdr:cNvPr>
        <xdr:cNvPicPr>
          <a:picLocks noChangeAspect="1"/>
        </xdr:cNvPicPr>
      </xdr:nvPicPr>
      <xdr:blipFill>
        <a:blip xmlns:r="http://schemas.openxmlformats.org/officeDocument/2006/relationships" r:embed="rId4"/>
        <a:stretch>
          <a:fillRect/>
        </a:stretch>
      </xdr:blipFill>
      <xdr:spPr>
        <a:xfrm>
          <a:off x="7734299" y="18988367"/>
          <a:ext cx="5996465" cy="3893371"/>
        </a:xfrm>
        <a:prstGeom prst="rect">
          <a:avLst/>
        </a:prstGeom>
      </xdr:spPr>
    </xdr:pic>
    <xdr:clientData/>
  </xdr:twoCellAnchor>
  <xdr:twoCellAnchor editAs="oneCell">
    <xdr:from>
      <xdr:col>18</xdr:col>
      <xdr:colOff>419100</xdr:colOff>
      <xdr:row>3</xdr:row>
      <xdr:rowOff>150774</xdr:rowOff>
    </xdr:from>
    <xdr:to>
      <xdr:col>32</xdr:col>
      <xdr:colOff>412936</xdr:colOff>
      <xdr:row>39</xdr:row>
      <xdr:rowOff>191815</xdr:rowOff>
    </xdr:to>
    <xdr:pic>
      <xdr:nvPicPr>
        <xdr:cNvPr id="7" name="Image 6">
          <a:extLst>
            <a:ext uri="{FF2B5EF4-FFF2-40B4-BE49-F238E27FC236}">
              <a16:creationId xmlns:a16="http://schemas.microsoft.com/office/drawing/2014/main" id="{F8D79903-B138-415B-8176-DC017FEDDA8F}"/>
            </a:ext>
          </a:extLst>
        </xdr:cNvPr>
        <xdr:cNvPicPr>
          <a:picLocks noChangeAspect="1"/>
        </xdr:cNvPicPr>
      </xdr:nvPicPr>
      <xdr:blipFill>
        <a:blip xmlns:r="http://schemas.openxmlformats.org/officeDocument/2006/relationships" r:embed="rId5"/>
        <a:stretch>
          <a:fillRect/>
        </a:stretch>
      </xdr:blipFill>
      <xdr:spPr>
        <a:xfrm>
          <a:off x="17354550" y="1274724"/>
          <a:ext cx="11846401" cy="7927741"/>
        </a:xfrm>
        <a:prstGeom prst="rect">
          <a:avLst/>
        </a:prstGeom>
      </xdr:spPr>
    </xdr:pic>
    <xdr:clientData/>
  </xdr:twoCellAnchor>
  <xdr:twoCellAnchor editAs="oneCell">
    <xdr:from>
      <xdr:col>1</xdr:col>
      <xdr:colOff>44824</xdr:colOff>
      <xdr:row>0</xdr:row>
      <xdr:rowOff>0</xdr:rowOff>
    </xdr:from>
    <xdr:to>
      <xdr:col>2</xdr:col>
      <xdr:colOff>649212</xdr:colOff>
      <xdr:row>1</xdr:row>
      <xdr:rowOff>115830</xdr:rowOff>
    </xdr:to>
    <xdr:pic>
      <xdr:nvPicPr>
        <xdr:cNvPr id="8" name="Image 7">
          <a:extLst>
            <a:ext uri="{FF2B5EF4-FFF2-40B4-BE49-F238E27FC236}">
              <a16:creationId xmlns:a16="http://schemas.microsoft.com/office/drawing/2014/main" id="{80AF5574-3B2C-42D5-A840-CB2FD35E30A3}"/>
            </a:ext>
          </a:extLst>
        </xdr:cNvPr>
        <xdr:cNvPicPr>
          <a:picLocks noChangeAspect="1"/>
        </xdr:cNvPicPr>
      </xdr:nvPicPr>
      <xdr:blipFill>
        <a:blip xmlns:r="http://schemas.openxmlformats.org/officeDocument/2006/relationships" r:embed="rId6"/>
        <a:stretch>
          <a:fillRect/>
        </a:stretch>
      </xdr:blipFill>
      <xdr:spPr>
        <a:xfrm>
          <a:off x="907677" y="0"/>
          <a:ext cx="1490382" cy="6151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56030</xdr:colOff>
      <xdr:row>2</xdr:row>
      <xdr:rowOff>96368</xdr:rowOff>
    </xdr:from>
    <xdr:to>
      <xdr:col>41</xdr:col>
      <xdr:colOff>795617</xdr:colOff>
      <xdr:row>29</xdr:row>
      <xdr:rowOff>123263</xdr:rowOff>
    </xdr:to>
    <xdr:graphicFrame macro="">
      <xdr:nvGraphicFramePr>
        <xdr:cNvPr id="2" name="Graphique 1">
          <a:extLst>
            <a:ext uri="{FF2B5EF4-FFF2-40B4-BE49-F238E27FC236}">
              <a16:creationId xmlns:a16="http://schemas.microsoft.com/office/drawing/2014/main" id="{7C32AA32-84A9-46B3-B05D-5C77F6FBC6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938893</xdr:colOff>
      <xdr:row>145</xdr:row>
      <xdr:rowOff>0</xdr:rowOff>
    </xdr:from>
    <xdr:to>
      <xdr:col>23</xdr:col>
      <xdr:colOff>1370009</xdr:colOff>
      <xdr:row>172</xdr:row>
      <xdr:rowOff>122422</xdr:rowOff>
    </xdr:to>
    <xdr:pic>
      <xdr:nvPicPr>
        <xdr:cNvPr id="2" name="Image 1">
          <a:extLst>
            <a:ext uri="{FF2B5EF4-FFF2-40B4-BE49-F238E27FC236}">
              <a16:creationId xmlns:a16="http://schemas.microsoft.com/office/drawing/2014/main" id="{BA937E71-BEB7-407D-8564-402A79916663}"/>
            </a:ext>
          </a:extLst>
        </xdr:cNvPr>
        <xdr:cNvPicPr>
          <a:picLocks noChangeAspect="1"/>
        </xdr:cNvPicPr>
      </xdr:nvPicPr>
      <xdr:blipFill>
        <a:blip xmlns:r="http://schemas.openxmlformats.org/officeDocument/2006/relationships" r:embed="rId1"/>
        <a:stretch>
          <a:fillRect/>
        </a:stretch>
      </xdr:blipFill>
      <xdr:spPr>
        <a:xfrm>
          <a:off x="15689036" y="14186056"/>
          <a:ext cx="8507080" cy="5631785"/>
        </a:xfrm>
        <a:prstGeom prst="rect">
          <a:avLst/>
        </a:prstGeom>
      </xdr:spPr>
    </xdr:pic>
    <xdr:clientData/>
  </xdr:twoCellAnchor>
  <xdr:twoCellAnchor editAs="oneCell">
    <xdr:from>
      <xdr:col>20</xdr:col>
      <xdr:colOff>872081</xdr:colOff>
      <xdr:row>12</xdr:row>
      <xdr:rowOff>117169</xdr:rowOff>
    </xdr:from>
    <xdr:to>
      <xdr:col>23</xdr:col>
      <xdr:colOff>2459182</xdr:colOff>
      <xdr:row>35</xdr:row>
      <xdr:rowOff>150981</xdr:rowOff>
    </xdr:to>
    <xdr:pic>
      <xdr:nvPicPr>
        <xdr:cNvPr id="3" name="Image 2">
          <a:extLst>
            <a:ext uri="{FF2B5EF4-FFF2-40B4-BE49-F238E27FC236}">
              <a16:creationId xmlns:a16="http://schemas.microsoft.com/office/drawing/2014/main" id="{4F650EA4-8109-46DD-8004-A96C693624EA}"/>
            </a:ext>
          </a:extLst>
        </xdr:cNvPr>
        <xdr:cNvPicPr>
          <a:picLocks noChangeAspect="1"/>
        </xdr:cNvPicPr>
      </xdr:nvPicPr>
      <xdr:blipFill>
        <a:blip xmlns:r="http://schemas.openxmlformats.org/officeDocument/2006/relationships" r:embed="rId2"/>
        <a:stretch>
          <a:fillRect/>
        </a:stretch>
      </xdr:blipFill>
      <xdr:spPr>
        <a:xfrm>
          <a:off x="29931990" y="2697578"/>
          <a:ext cx="6055192" cy="48174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461962</xdr:colOff>
      <xdr:row>1</xdr:row>
      <xdr:rowOff>133350</xdr:rowOff>
    </xdr:from>
    <xdr:to>
      <xdr:col>5</xdr:col>
      <xdr:colOff>633412</xdr:colOff>
      <xdr:row>15</xdr:row>
      <xdr:rowOff>76200</xdr:rowOff>
    </xdr:to>
    <xdr:graphicFrame macro="">
      <xdr:nvGraphicFramePr>
        <xdr:cNvPr id="2" name="Graphique 1">
          <a:extLst>
            <a:ext uri="{FF2B5EF4-FFF2-40B4-BE49-F238E27FC236}">
              <a16:creationId xmlns:a16="http://schemas.microsoft.com/office/drawing/2014/main" id="{93E2A50C-A181-47AD-A222-1868B61355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380999</xdr:colOff>
      <xdr:row>20</xdr:row>
      <xdr:rowOff>0</xdr:rowOff>
    </xdr:from>
    <xdr:to>
      <xdr:col>25</xdr:col>
      <xdr:colOff>378011</xdr:colOff>
      <xdr:row>33</xdr:row>
      <xdr:rowOff>138108</xdr:rowOff>
    </xdr:to>
    <xdr:pic>
      <xdr:nvPicPr>
        <xdr:cNvPr id="2" name="Image 1">
          <a:extLst>
            <a:ext uri="{FF2B5EF4-FFF2-40B4-BE49-F238E27FC236}">
              <a16:creationId xmlns:a16="http://schemas.microsoft.com/office/drawing/2014/main" id="{97343063-8C92-4325-BB3A-ADF8226F51C7}"/>
            </a:ext>
          </a:extLst>
        </xdr:cNvPr>
        <xdr:cNvPicPr>
          <a:picLocks noChangeAspect="1"/>
        </xdr:cNvPicPr>
      </xdr:nvPicPr>
      <xdr:blipFill>
        <a:blip xmlns:r="http://schemas.openxmlformats.org/officeDocument/2006/relationships" r:embed="rId1"/>
        <a:stretch>
          <a:fillRect/>
        </a:stretch>
      </xdr:blipFill>
      <xdr:spPr>
        <a:xfrm>
          <a:off x="26212799" y="8598900"/>
          <a:ext cx="3344097" cy="2765103"/>
        </a:xfrm>
        <a:prstGeom prst="rect">
          <a:avLst/>
        </a:prstGeom>
      </xdr:spPr>
    </xdr:pic>
    <xdr:clientData/>
  </xdr:twoCellAnchor>
  <xdr:twoCellAnchor editAs="oneCell">
    <xdr:from>
      <xdr:col>22</xdr:col>
      <xdr:colOff>380999</xdr:colOff>
      <xdr:row>29</xdr:row>
      <xdr:rowOff>0</xdr:rowOff>
    </xdr:from>
    <xdr:to>
      <xdr:col>26</xdr:col>
      <xdr:colOff>378010</xdr:colOff>
      <xdr:row>45</xdr:row>
      <xdr:rowOff>80398</xdr:rowOff>
    </xdr:to>
    <xdr:pic>
      <xdr:nvPicPr>
        <xdr:cNvPr id="4" name="Image 3">
          <a:extLst>
            <a:ext uri="{FF2B5EF4-FFF2-40B4-BE49-F238E27FC236}">
              <a16:creationId xmlns:a16="http://schemas.microsoft.com/office/drawing/2014/main" id="{8B337DAA-2C16-4B75-AB64-C02D771B75F6}"/>
            </a:ext>
          </a:extLst>
        </xdr:cNvPr>
        <xdr:cNvPicPr>
          <a:picLocks noChangeAspect="1"/>
        </xdr:cNvPicPr>
      </xdr:nvPicPr>
      <xdr:blipFill>
        <a:blip xmlns:r="http://schemas.openxmlformats.org/officeDocument/2006/relationships" r:embed="rId1"/>
        <a:stretch>
          <a:fillRect/>
        </a:stretch>
      </xdr:blipFill>
      <xdr:spPr>
        <a:xfrm>
          <a:off x="25374599" y="6029325"/>
          <a:ext cx="3349811" cy="27670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29</xdr:row>
      <xdr:rowOff>0</xdr:rowOff>
    </xdr:from>
    <xdr:to>
      <xdr:col>1</xdr:col>
      <xdr:colOff>2381652</xdr:colOff>
      <xdr:row>41</xdr:row>
      <xdr:rowOff>152923</xdr:rowOff>
    </xdr:to>
    <xdr:pic>
      <xdr:nvPicPr>
        <xdr:cNvPr id="2" name="Image 1">
          <a:extLst>
            <a:ext uri="{FF2B5EF4-FFF2-40B4-BE49-F238E27FC236}">
              <a16:creationId xmlns:a16="http://schemas.microsoft.com/office/drawing/2014/main" id="{E8124761-C116-4375-A92A-DA8300482034}"/>
            </a:ext>
          </a:extLst>
        </xdr:cNvPr>
        <xdr:cNvPicPr>
          <a:picLocks noChangeAspect="1"/>
        </xdr:cNvPicPr>
      </xdr:nvPicPr>
      <xdr:blipFill>
        <a:blip xmlns:r="http://schemas.openxmlformats.org/officeDocument/2006/relationships" r:embed="rId1"/>
        <a:stretch>
          <a:fillRect/>
        </a:stretch>
      </xdr:blipFill>
      <xdr:spPr>
        <a:xfrm>
          <a:off x="1" y="5686926"/>
          <a:ext cx="7162800" cy="2275495"/>
        </a:xfrm>
        <a:prstGeom prst="rect">
          <a:avLst/>
        </a:prstGeom>
      </xdr:spPr>
    </xdr:pic>
    <xdr:clientData/>
  </xdr:twoCellAnchor>
  <xdr:twoCellAnchor editAs="oneCell">
    <xdr:from>
      <xdr:col>3</xdr:col>
      <xdr:colOff>3609473</xdr:colOff>
      <xdr:row>27</xdr:row>
      <xdr:rowOff>104273</xdr:rowOff>
    </xdr:from>
    <xdr:to>
      <xdr:col>5</xdr:col>
      <xdr:colOff>373981</xdr:colOff>
      <xdr:row>50</xdr:row>
      <xdr:rowOff>131984</xdr:rowOff>
    </xdr:to>
    <xdr:pic>
      <xdr:nvPicPr>
        <xdr:cNvPr id="3" name="Image 2" descr="Palplanches - Techniques concurrentes">
          <a:extLst>
            <a:ext uri="{FF2B5EF4-FFF2-40B4-BE49-F238E27FC236}">
              <a16:creationId xmlns:a16="http://schemas.microsoft.com/office/drawing/2014/main" id="{D6E80CC3-08DA-4915-89B8-5F928C45B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1452" y="3481136"/>
          <a:ext cx="4580021" cy="409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27</xdr:row>
      <xdr:rowOff>112295</xdr:rowOff>
    </xdr:from>
    <xdr:to>
      <xdr:col>20</xdr:col>
      <xdr:colOff>23362</xdr:colOff>
      <xdr:row>51</xdr:row>
      <xdr:rowOff>159412</xdr:rowOff>
    </xdr:to>
    <xdr:pic>
      <xdr:nvPicPr>
        <xdr:cNvPr id="4" name="Image 3">
          <a:extLst>
            <a:ext uri="{FF2B5EF4-FFF2-40B4-BE49-F238E27FC236}">
              <a16:creationId xmlns:a16="http://schemas.microsoft.com/office/drawing/2014/main" id="{7E5A9FF0-3DCF-4100-9D67-942799A1D1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3873" y="3489158"/>
          <a:ext cx="4550243" cy="429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56</xdr:row>
      <xdr:rowOff>47625</xdr:rowOff>
    </xdr:from>
    <xdr:to>
      <xdr:col>1</xdr:col>
      <xdr:colOff>2866575</xdr:colOff>
      <xdr:row>83</xdr:row>
      <xdr:rowOff>21953</xdr:rowOff>
    </xdr:to>
    <xdr:pic>
      <xdr:nvPicPr>
        <xdr:cNvPr id="5" name="Image 4">
          <a:extLst>
            <a:ext uri="{FF2B5EF4-FFF2-40B4-BE49-F238E27FC236}">
              <a16:creationId xmlns:a16="http://schemas.microsoft.com/office/drawing/2014/main" id="{CAEB3084-1D9C-4F6F-A11A-C27A515CD428}"/>
            </a:ext>
          </a:extLst>
        </xdr:cNvPr>
        <xdr:cNvPicPr>
          <a:picLocks noChangeAspect="1"/>
        </xdr:cNvPicPr>
      </xdr:nvPicPr>
      <xdr:blipFill>
        <a:blip xmlns:r="http://schemas.openxmlformats.org/officeDocument/2006/relationships" r:embed="rId4"/>
        <a:stretch>
          <a:fillRect/>
        </a:stretch>
      </xdr:blipFill>
      <xdr:spPr>
        <a:xfrm>
          <a:off x="47625" y="10877550"/>
          <a:ext cx="7610025" cy="4860653"/>
        </a:xfrm>
        <a:prstGeom prst="rect">
          <a:avLst/>
        </a:prstGeom>
      </xdr:spPr>
    </xdr:pic>
    <xdr:clientData/>
  </xdr:twoCellAnchor>
  <xdr:twoCellAnchor editAs="oneCell">
    <xdr:from>
      <xdr:col>7</xdr:col>
      <xdr:colOff>30079</xdr:colOff>
      <xdr:row>56</xdr:row>
      <xdr:rowOff>10027</xdr:rowOff>
    </xdr:from>
    <xdr:to>
      <xdr:col>13</xdr:col>
      <xdr:colOff>677079</xdr:colOff>
      <xdr:row>74</xdr:row>
      <xdr:rowOff>85309</xdr:rowOff>
    </xdr:to>
    <xdr:pic>
      <xdr:nvPicPr>
        <xdr:cNvPr id="6" name="Image 5">
          <a:extLst>
            <a:ext uri="{FF2B5EF4-FFF2-40B4-BE49-F238E27FC236}">
              <a16:creationId xmlns:a16="http://schemas.microsoft.com/office/drawing/2014/main" id="{B7F0FF25-6914-4DB3-A429-1422019C5348}"/>
            </a:ext>
          </a:extLst>
        </xdr:cNvPr>
        <xdr:cNvPicPr>
          <a:picLocks noChangeAspect="1"/>
        </xdr:cNvPicPr>
      </xdr:nvPicPr>
      <xdr:blipFill>
        <a:blip xmlns:r="http://schemas.openxmlformats.org/officeDocument/2006/relationships" r:embed="rId5"/>
        <a:stretch>
          <a:fillRect/>
        </a:stretch>
      </xdr:blipFill>
      <xdr:spPr>
        <a:xfrm>
          <a:off x="8542421" y="10818395"/>
          <a:ext cx="5600000" cy="3323809"/>
        </a:xfrm>
        <a:prstGeom prst="rect">
          <a:avLst/>
        </a:prstGeom>
      </xdr:spPr>
    </xdr:pic>
    <xdr:clientData/>
  </xdr:twoCellAnchor>
  <xdr:twoCellAnchor editAs="oneCell">
    <xdr:from>
      <xdr:col>20</xdr:col>
      <xdr:colOff>0</xdr:colOff>
      <xdr:row>56</xdr:row>
      <xdr:rowOff>0</xdr:rowOff>
    </xdr:from>
    <xdr:to>
      <xdr:col>28</xdr:col>
      <xdr:colOff>704432</xdr:colOff>
      <xdr:row>76</xdr:row>
      <xdr:rowOff>133383</xdr:rowOff>
    </xdr:to>
    <xdr:pic>
      <xdr:nvPicPr>
        <xdr:cNvPr id="7" name="Image 6">
          <a:extLst>
            <a:ext uri="{FF2B5EF4-FFF2-40B4-BE49-F238E27FC236}">
              <a16:creationId xmlns:a16="http://schemas.microsoft.com/office/drawing/2014/main" id="{18ADA7B0-CE26-4704-9544-B9AB2B75A52E}"/>
            </a:ext>
          </a:extLst>
        </xdr:cNvPr>
        <xdr:cNvPicPr>
          <a:picLocks noChangeAspect="1"/>
        </xdr:cNvPicPr>
      </xdr:nvPicPr>
      <xdr:blipFill>
        <a:blip xmlns:r="http://schemas.openxmlformats.org/officeDocument/2006/relationships" r:embed="rId6"/>
        <a:stretch>
          <a:fillRect/>
        </a:stretch>
      </xdr:blipFill>
      <xdr:spPr>
        <a:xfrm>
          <a:off x="14668500" y="10808368"/>
          <a:ext cx="7361905" cy="37428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194328</xdr:colOff>
      <xdr:row>0</xdr:row>
      <xdr:rowOff>9525</xdr:rowOff>
    </xdr:from>
    <xdr:to>
      <xdr:col>26</xdr:col>
      <xdr:colOff>270057</xdr:colOff>
      <xdr:row>8</xdr:row>
      <xdr:rowOff>116789</xdr:rowOff>
    </xdr:to>
    <xdr:pic>
      <xdr:nvPicPr>
        <xdr:cNvPr id="2" name="Image 1" descr="Le Radier, un système de fondation avec beaucoup de préjugés">
          <a:extLst>
            <a:ext uri="{FF2B5EF4-FFF2-40B4-BE49-F238E27FC236}">
              <a16:creationId xmlns:a16="http://schemas.microsoft.com/office/drawing/2014/main" id="{339214E8-9375-43E8-B1D8-C1A8CFCEC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25803" y="9525"/>
          <a:ext cx="3352329" cy="2602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230979</xdr:colOff>
      <xdr:row>10</xdr:row>
      <xdr:rowOff>68892</xdr:rowOff>
    </xdr:from>
    <xdr:to>
      <xdr:col>26</xdr:col>
      <xdr:colOff>299860</xdr:colOff>
      <xdr:row>21</xdr:row>
      <xdr:rowOff>98999</xdr:rowOff>
    </xdr:to>
    <xdr:pic>
      <xdr:nvPicPr>
        <xdr:cNvPr id="3" name="Image 2" descr="Radier thermique Jackon avec XPS">
          <a:extLst>
            <a:ext uri="{FF2B5EF4-FFF2-40B4-BE49-F238E27FC236}">
              <a16:creationId xmlns:a16="http://schemas.microsoft.com/office/drawing/2014/main" id="{C0C265E0-F64F-412F-8996-84CE509D0D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462454" y="2935917"/>
          <a:ext cx="3345481" cy="2049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163163</xdr:colOff>
      <xdr:row>26</xdr:row>
      <xdr:rowOff>70213</xdr:rowOff>
    </xdr:from>
    <xdr:to>
      <xdr:col>27</xdr:col>
      <xdr:colOff>253634</xdr:colOff>
      <xdr:row>41</xdr:row>
      <xdr:rowOff>164916</xdr:rowOff>
    </xdr:to>
    <xdr:pic>
      <xdr:nvPicPr>
        <xdr:cNvPr id="4" name="Image 3" descr="Keller als weiße Wanne">
          <a:extLst>
            <a:ext uri="{FF2B5EF4-FFF2-40B4-BE49-F238E27FC236}">
              <a16:creationId xmlns:a16="http://schemas.microsoft.com/office/drawing/2014/main" id="{33C80598-254F-4D5A-A265-C4678B2B20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394638" y="6109063"/>
          <a:ext cx="4186221" cy="2866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266373</xdr:colOff>
      <xdr:row>4</xdr:row>
      <xdr:rowOff>66261</xdr:rowOff>
    </xdr:from>
    <xdr:to>
      <xdr:col>29</xdr:col>
      <xdr:colOff>78758</xdr:colOff>
      <xdr:row>7</xdr:row>
      <xdr:rowOff>33937</xdr:rowOff>
    </xdr:to>
    <xdr:pic>
      <xdr:nvPicPr>
        <xdr:cNvPr id="5" name="Picture 50">
          <a:extLst>
            <a:ext uri="{FF2B5EF4-FFF2-40B4-BE49-F238E27FC236}">
              <a16:creationId xmlns:a16="http://schemas.microsoft.com/office/drawing/2014/main" id="{A6010C32-9C81-47E6-8C06-5746E8E39642}"/>
            </a:ext>
          </a:extLst>
        </xdr:cNvPr>
        <xdr:cNvPicPr>
          <a:picLocks noChangeAspect="1"/>
        </xdr:cNvPicPr>
      </xdr:nvPicPr>
      <xdr:blipFill rotWithShape="1">
        <a:blip xmlns:r="http://schemas.openxmlformats.org/officeDocument/2006/relationships" r:embed="rId1"/>
        <a:srcRect l="12990" t="53334" r="16608" b="6924"/>
        <a:stretch/>
      </xdr:blipFill>
      <xdr:spPr>
        <a:xfrm>
          <a:off x="22944156" y="1590261"/>
          <a:ext cx="2272320" cy="521368"/>
        </a:xfrm>
        <a:prstGeom prst="rect">
          <a:avLst/>
        </a:prstGeom>
      </xdr:spPr>
    </xdr:pic>
    <xdr:clientData/>
  </xdr:twoCellAnchor>
  <xdr:twoCellAnchor editAs="oneCell">
    <xdr:from>
      <xdr:col>26</xdr:col>
      <xdr:colOff>221521</xdr:colOff>
      <xdr:row>26</xdr:row>
      <xdr:rowOff>133556</xdr:rowOff>
    </xdr:from>
    <xdr:to>
      <xdr:col>29</xdr:col>
      <xdr:colOff>609585</xdr:colOff>
      <xdr:row>30</xdr:row>
      <xdr:rowOff>91109</xdr:rowOff>
    </xdr:to>
    <xdr:pic>
      <xdr:nvPicPr>
        <xdr:cNvPr id="6" name="Picture 50">
          <a:extLst>
            <a:ext uri="{FF2B5EF4-FFF2-40B4-BE49-F238E27FC236}">
              <a16:creationId xmlns:a16="http://schemas.microsoft.com/office/drawing/2014/main" id="{48288930-1873-4818-B0EA-4541EA1CB795}"/>
            </a:ext>
          </a:extLst>
        </xdr:cNvPr>
        <xdr:cNvPicPr>
          <a:picLocks noChangeAspect="1"/>
        </xdr:cNvPicPr>
      </xdr:nvPicPr>
      <xdr:blipFill rotWithShape="1">
        <a:blip xmlns:r="http://schemas.openxmlformats.org/officeDocument/2006/relationships" r:embed="rId1"/>
        <a:srcRect l="12990" t="9670" r="16608" b="47876"/>
        <a:stretch/>
      </xdr:blipFill>
      <xdr:spPr>
        <a:xfrm>
          <a:off x="22899304" y="5856839"/>
          <a:ext cx="2847999" cy="686422"/>
        </a:xfrm>
        <a:prstGeom prst="rect">
          <a:avLst/>
        </a:prstGeom>
      </xdr:spPr>
    </xdr:pic>
    <xdr:clientData/>
  </xdr:twoCellAnchor>
  <xdr:twoCellAnchor editAs="oneCell">
    <xdr:from>
      <xdr:col>26</xdr:col>
      <xdr:colOff>200556</xdr:colOff>
      <xdr:row>8</xdr:row>
      <xdr:rowOff>57979</xdr:rowOff>
    </xdr:from>
    <xdr:to>
      <xdr:col>28</xdr:col>
      <xdr:colOff>767015</xdr:colOff>
      <xdr:row>9</xdr:row>
      <xdr:rowOff>173934</xdr:rowOff>
    </xdr:to>
    <xdr:pic>
      <xdr:nvPicPr>
        <xdr:cNvPr id="7" name="Picture 33">
          <a:extLst>
            <a:ext uri="{FF2B5EF4-FFF2-40B4-BE49-F238E27FC236}">
              <a16:creationId xmlns:a16="http://schemas.microsoft.com/office/drawing/2014/main" id="{BB9145AA-8DC2-439B-AB1A-7AD0D999284E}"/>
            </a:ext>
          </a:extLst>
        </xdr:cNvPr>
        <xdr:cNvPicPr>
          <a:picLocks noChangeAspect="1"/>
        </xdr:cNvPicPr>
      </xdr:nvPicPr>
      <xdr:blipFill rotWithShape="1">
        <a:blip xmlns:r="http://schemas.openxmlformats.org/officeDocument/2006/relationships" r:embed="rId2"/>
        <a:srcRect l="11938" t="50648" r="53576" b="38463"/>
        <a:stretch/>
      </xdr:blipFill>
      <xdr:spPr>
        <a:xfrm>
          <a:off x="22878339" y="2335696"/>
          <a:ext cx="2206415" cy="298173"/>
        </a:xfrm>
        <a:prstGeom prst="rect">
          <a:avLst/>
        </a:prstGeom>
      </xdr:spPr>
    </xdr:pic>
    <xdr:clientData/>
  </xdr:twoCellAnchor>
  <xdr:twoCellAnchor editAs="oneCell">
    <xdr:from>
      <xdr:col>26</xdr:col>
      <xdr:colOff>203864</xdr:colOff>
      <xdr:row>34</xdr:row>
      <xdr:rowOff>68036</xdr:rowOff>
    </xdr:from>
    <xdr:to>
      <xdr:col>29</xdr:col>
      <xdr:colOff>653143</xdr:colOff>
      <xdr:row>38</xdr:row>
      <xdr:rowOff>66261</xdr:rowOff>
    </xdr:to>
    <xdr:pic>
      <xdr:nvPicPr>
        <xdr:cNvPr id="14" name="Picture 33">
          <a:extLst>
            <a:ext uri="{FF2B5EF4-FFF2-40B4-BE49-F238E27FC236}">
              <a16:creationId xmlns:a16="http://schemas.microsoft.com/office/drawing/2014/main" id="{DE79DF06-CB96-47F8-A9FF-1303D19FD687}"/>
            </a:ext>
          </a:extLst>
        </xdr:cNvPr>
        <xdr:cNvPicPr>
          <a:picLocks noChangeAspect="1"/>
        </xdr:cNvPicPr>
      </xdr:nvPicPr>
      <xdr:blipFill rotWithShape="1">
        <a:blip xmlns:r="http://schemas.openxmlformats.org/officeDocument/2006/relationships" r:embed="rId2"/>
        <a:srcRect l="11938" t="4506" r="9266" b="50827"/>
        <a:stretch/>
      </xdr:blipFill>
      <xdr:spPr>
        <a:xfrm>
          <a:off x="22881647" y="7282188"/>
          <a:ext cx="2909214" cy="727095"/>
        </a:xfrm>
        <a:prstGeom prst="rect">
          <a:avLst/>
        </a:prstGeom>
      </xdr:spPr>
    </xdr:pic>
    <xdr:clientData/>
  </xdr:twoCellAnchor>
  <xdr:twoCellAnchor editAs="oneCell">
    <xdr:from>
      <xdr:col>29</xdr:col>
      <xdr:colOff>791978</xdr:colOff>
      <xdr:row>35</xdr:row>
      <xdr:rowOff>15537</xdr:rowOff>
    </xdr:from>
    <xdr:to>
      <xdr:col>31</xdr:col>
      <xdr:colOff>733147</xdr:colOff>
      <xdr:row>41</xdr:row>
      <xdr:rowOff>60673</xdr:rowOff>
    </xdr:to>
    <xdr:pic>
      <xdr:nvPicPr>
        <xdr:cNvPr id="15" name="Image 14">
          <a:extLst>
            <a:ext uri="{FF2B5EF4-FFF2-40B4-BE49-F238E27FC236}">
              <a16:creationId xmlns:a16="http://schemas.microsoft.com/office/drawing/2014/main" id="{78542C17-8330-47C2-9AA2-66F53AD01E49}"/>
            </a:ext>
          </a:extLst>
        </xdr:cNvPr>
        <xdr:cNvPicPr>
          <a:picLocks noChangeAspect="1"/>
        </xdr:cNvPicPr>
      </xdr:nvPicPr>
      <xdr:blipFill>
        <a:blip xmlns:r="http://schemas.openxmlformats.org/officeDocument/2006/relationships" r:embed="rId3"/>
        <a:stretch>
          <a:fillRect/>
        </a:stretch>
      </xdr:blipFill>
      <xdr:spPr>
        <a:xfrm>
          <a:off x="25883549" y="7363394"/>
          <a:ext cx="1574026" cy="1106493"/>
        </a:xfrm>
        <a:prstGeom prst="rect">
          <a:avLst/>
        </a:prstGeom>
      </xdr:spPr>
    </xdr:pic>
    <xdr:clientData/>
  </xdr:twoCellAnchor>
  <xdr:twoCellAnchor editAs="oneCell">
    <xdr:from>
      <xdr:col>26</xdr:col>
      <xdr:colOff>190500</xdr:colOff>
      <xdr:row>42</xdr:row>
      <xdr:rowOff>102145</xdr:rowOff>
    </xdr:from>
    <xdr:to>
      <xdr:col>28</xdr:col>
      <xdr:colOff>503217</xdr:colOff>
      <xdr:row>46</xdr:row>
      <xdr:rowOff>82826</xdr:rowOff>
    </xdr:to>
    <xdr:pic>
      <xdr:nvPicPr>
        <xdr:cNvPr id="16" name="Picture 4">
          <a:extLst>
            <a:ext uri="{FF2B5EF4-FFF2-40B4-BE49-F238E27FC236}">
              <a16:creationId xmlns:a16="http://schemas.microsoft.com/office/drawing/2014/main" id="{39A7C2EF-4EC8-471A-A02A-FD6F52186AED}"/>
            </a:ext>
          </a:extLst>
        </xdr:cNvPr>
        <xdr:cNvPicPr>
          <a:picLocks noChangeAspect="1"/>
        </xdr:cNvPicPr>
      </xdr:nvPicPr>
      <xdr:blipFill rotWithShape="1">
        <a:blip xmlns:r="http://schemas.openxmlformats.org/officeDocument/2006/relationships" r:embed="rId4"/>
        <a:srcRect l="10102" r="17410" b="36621"/>
        <a:stretch/>
      </xdr:blipFill>
      <xdr:spPr>
        <a:xfrm>
          <a:off x="22868283" y="8790602"/>
          <a:ext cx="1952673" cy="726115"/>
        </a:xfrm>
        <a:prstGeom prst="rect">
          <a:avLst/>
        </a:prstGeom>
      </xdr:spPr>
    </xdr:pic>
    <xdr:clientData/>
  </xdr:twoCellAnchor>
  <xdr:twoCellAnchor editAs="oneCell">
    <xdr:from>
      <xdr:col>29</xdr:col>
      <xdr:colOff>238777</xdr:colOff>
      <xdr:row>42</xdr:row>
      <xdr:rowOff>174812</xdr:rowOff>
    </xdr:from>
    <xdr:to>
      <xdr:col>30</xdr:col>
      <xdr:colOff>641181</xdr:colOff>
      <xdr:row>48</xdr:row>
      <xdr:rowOff>173461</xdr:rowOff>
    </xdr:to>
    <xdr:pic>
      <xdr:nvPicPr>
        <xdr:cNvPr id="17" name="Image 16">
          <a:extLst>
            <a:ext uri="{FF2B5EF4-FFF2-40B4-BE49-F238E27FC236}">
              <a16:creationId xmlns:a16="http://schemas.microsoft.com/office/drawing/2014/main" id="{99EE7DF1-FDC7-4D59-BE0D-3050F5F2BCE3}"/>
            </a:ext>
          </a:extLst>
        </xdr:cNvPr>
        <xdr:cNvPicPr>
          <a:picLocks noChangeAspect="1"/>
        </xdr:cNvPicPr>
      </xdr:nvPicPr>
      <xdr:blipFill>
        <a:blip xmlns:r="http://schemas.openxmlformats.org/officeDocument/2006/relationships" r:embed="rId5"/>
        <a:stretch>
          <a:fillRect/>
        </a:stretch>
      </xdr:blipFill>
      <xdr:spPr>
        <a:xfrm>
          <a:off x="25330348" y="8788133"/>
          <a:ext cx="1218832" cy="1087221"/>
        </a:xfrm>
        <a:prstGeom prst="rect">
          <a:avLst/>
        </a:prstGeom>
      </xdr:spPr>
    </xdr:pic>
    <xdr:clientData/>
  </xdr:twoCellAnchor>
  <xdr:twoCellAnchor editAs="oneCell">
    <xdr:from>
      <xdr:col>26</xdr:col>
      <xdr:colOff>624557</xdr:colOff>
      <xdr:row>127</xdr:row>
      <xdr:rowOff>162486</xdr:rowOff>
    </xdr:from>
    <xdr:to>
      <xdr:col>29</xdr:col>
      <xdr:colOff>399423</xdr:colOff>
      <xdr:row>130</xdr:row>
      <xdr:rowOff>74706</xdr:rowOff>
    </xdr:to>
    <xdr:pic>
      <xdr:nvPicPr>
        <xdr:cNvPr id="18" name="Picture 20">
          <a:extLst>
            <a:ext uri="{FF2B5EF4-FFF2-40B4-BE49-F238E27FC236}">
              <a16:creationId xmlns:a16="http://schemas.microsoft.com/office/drawing/2014/main" id="{2876FF07-B45F-4A62-A185-7F2C650C89F8}"/>
            </a:ext>
          </a:extLst>
        </xdr:cNvPr>
        <xdr:cNvPicPr>
          <a:picLocks noChangeAspect="1"/>
        </xdr:cNvPicPr>
      </xdr:nvPicPr>
      <xdr:blipFill rotWithShape="1">
        <a:blip xmlns:r="http://schemas.openxmlformats.org/officeDocument/2006/relationships" r:embed="rId6"/>
        <a:srcRect l="26461" t="48153" r="23665" b="25077"/>
        <a:stretch/>
      </xdr:blipFill>
      <xdr:spPr>
        <a:xfrm>
          <a:off x="25056182" y="22689111"/>
          <a:ext cx="2251366" cy="499595"/>
        </a:xfrm>
        <a:prstGeom prst="rect">
          <a:avLst/>
        </a:prstGeom>
      </xdr:spPr>
    </xdr:pic>
    <xdr:clientData/>
  </xdr:twoCellAnchor>
  <xdr:twoCellAnchor editAs="oneCell">
    <xdr:from>
      <xdr:col>26</xdr:col>
      <xdr:colOff>804956</xdr:colOff>
      <xdr:row>143</xdr:row>
      <xdr:rowOff>152213</xdr:rowOff>
    </xdr:from>
    <xdr:to>
      <xdr:col>29</xdr:col>
      <xdr:colOff>740437</xdr:colOff>
      <xdr:row>146</xdr:row>
      <xdr:rowOff>181161</xdr:rowOff>
    </xdr:to>
    <xdr:pic>
      <xdr:nvPicPr>
        <xdr:cNvPr id="19" name="Picture 4">
          <a:extLst>
            <a:ext uri="{FF2B5EF4-FFF2-40B4-BE49-F238E27FC236}">
              <a16:creationId xmlns:a16="http://schemas.microsoft.com/office/drawing/2014/main" id="{19EA64C7-1078-45C3-96D8-B3693638730F}"/>
            </a:ext>
          </a:extLst>
        </xdr:cNvPr>
        <xdr:cNvPicPr>
          <a:picLocks noChangeAspect="1"/>
        </xdr:cNvPicPr>
      </xdr:nvPicPr>
      <xdr:blipFill rotWithShape="1">
        <a:blip xmlns:r="http://schemas.openxmlformats.org/officeDocument/2006/relationships" r:embed="rId7"/>
        <a:srcRect l="18290" t="40982" r="21568" b="28215"/>
        <a:stretch/>
      </xdr:blipFill>
      <xdr:spPr>
        <a:xfrm>
          <a:off x="25236581" y="25599838"/>
          <a:ext cx="2411981" cy="552823"/>
        </a:xfrm>
        <a:prstGeom prst="rect">
          <a:avLst/>
        </a:prstGeom>
      </xdr:spPr>
    </xdr:pic>
    <xdr:clientData/>
  </xdr:twoCellAnchor>
  <xdr:twoCellAnchor editAs="oneCell">
    <xdr:from>
      <xdr:col>26</xdr:col>
      <xdr:colOff>273611</xdr:colOff>
      <xdr:row>120</xdr:row>
      <xdr:rowOff>130574</xdr:rowOff>
    </xdr:from>
    <xdr:to>
      <xdr:col>29</xdr:col>
      <xdr:colOff>520141</xdr:colOff>
      <xdr:row>124</xdr:row>
      <xdr:rowOff>933</xdr:rowOff>
    </xdr:to>
    <xdr:pic>
      <xdr:nvPicPr>
        <xdr:cNvPr id="21" name="Picture 23">
          <a:extLst>
            <a:ext uri="{FF2B5EF4-FFF2-40B4-BE49-F238E27FC236}">
              <a16:creationId xmlns:a16="http://schemas.microsoft.com/office/drawing/2014/main" id="{D56404BF-B967-4671-8E67-29A84912251E}"/>
            </a:ext>
          </a:extLst>
        </xdr:cNvPr>
        <xdr:cNvPicPr>
          <a:picLocks noChangeAspect="1"/>
        </xdr:cNvPicPr>
      </xdr:nvPicPr>
      <xdr:blipFill rotWithShape="1">
        <a:blip xmlns:r="http://schemas.openxmlformats.org/officeDocument/2006/relationships" r:embed="rId8"/>
        <a:srcRect l="20367" t="49489" r="20777" b="19459"/>
        <a:stretch/>
      </xdr:blipFill>
      <xdr:spPr>
        <a:xfrm>
          <a:off x="24705236" y="21323699"/>
          <a:ext cx="2723030" cy="600609"/>
        </a:xfrm>
        <a:prstGeom prst="rect">
          <a:avLst/>
        </a:prstGeom>
      </xdr:spPr>
    </xdr:pic>
    <xdr:clientData/>
  </xdr:twoCellAnchor>
  <xdr:twoCellAnchor editAs="oneCell">
    <xdr:from>
      <xdr:col>27</xdr:col>
      <xdr:colOff>17743</xdr:colOff>
      <xdr:row>132</xdr:row>
      <xdr:rowOff>108324</xdr:rowOff>
    </xdr:from>
    <xdr:to>
      <xdr:col>29</xdr:col>
      <xdr:colOff>741642</xdr:colOff>
      <xdr:row>135</xdr:row>
      <xdr:rowOff>94502</xdr:rowOff>
    </xdr:to>
    <xdr:pic>
      <xdr:nvPicPr>
        <xdr:cNvPr id="22" name="Picture 23">
          <a:extLst>
            <a:ext uri="{FF2B5EF4-FFF2-40B4-BE49-F238E27FC236}">
              <a16:creationId xmlns:a16="http://schemas.microsoft.com/office/drawing/2014/main" id="{202CCC8B-AC47-4D87-AFBB-72A0870F3BE9}"/>
            </a:ext>
          </a:extLst>
        </xdr:cNvPr>
        <xdr:cNvPicPr>
          <a:picLocks noChangeAspect="1"/>
        </xdr:cNvPicPr>
      </xdr:nvPicPr>
      <xdr:blipFill rotWithShape="1">
        <a:blip xmlns:r="http://schemas.openxmlformats.org/officeDocument/2006/relationships" r:embed="rId8"/>
        <a:srcRect l="27791" t="51805" r="20777" b="19459"/>
        <a:stretch/>
      </xdr:blipFill>
      <xdr:spPr>
        <a:xfrm>
          <a:off x="25274868" y="23571574"/>
          <a:ext cx="2374899" cy="541803"/>
        </a:xfrm>
        <a:prstGeom prst="rect">
          <a:avLst/>
        </a:prstGeom>
      </xdr:spPr>
    </xdr:pic>
    <xdr:clientData/>
  </xdr:twoCellAnchor>
  <xdr:twoCellAnchor editAs="oneCell">
    <xdr:from>
      <xdr:col>26</xdr:col>
      <xdr:colOff>419337</xdr:colOff>
      <xdr:row>11</xdr:row>
      <xdr:rowOff>168491</xdr:rowOff>
    </xdr:from>
    <xdr:to>
      <xdr:col>28</xdr:col>
      <xdr:colOff>799583</xdr:colOff>
      <xdr:row>14</xdr:row>
      <xdr:rowOff>122914</xdr:rowOff>
    </xdr:to>
    <xdr:pic>
      <xdr:nvPicPr>
        <xdr:cNvPr id="24" name="Picture 50">
          <a:extLst>
            <a:ext uri="{FF2B5EF4-FFF2-40B4-BE49-F238E27FC236}">
              <a16:creationId xmlns:a16="http://schemas.microsoft.com/office/drawing/2014/main" id="{4ED6BCFB-4824-4E8D-A0CD-808BC497E963}"/>
            </a:ext>
          </a:extLst>
        </xdr:cNvPr>
        <xdr:cNvPicPr>
          <a:picLocks noChangeAspect="1"/>
        </xdr:cNvPicPr>
      </xdr:nvPicPr>
      <xdr:blipFill rotWithShape="1">
        <a:blip xmlns:r="http://schemas.openxmlformats.org/officeDocument/2006/relationships" r:embed="rId1"/>
        <a:srcRect l="20801" t="54344" r="16608" b="6924"/>
        <a:stretch/>
      </xdr:blipFill>
      <xdr:spPr>
        <a:xfrm>
          <a:off x="23186808" y="2889920"/>
          <a:ext cx="2023989" cy="478298"/>
        </a:xfrm>
        <a:prstGeom prst="rect">
          <a:avLst/>
        </a:prstGeom>
      </xdr:spPr>
    </xdr:pic>
    <xdr:clientData/>
  </xdr:twoCellAnchor>
  <xdr:twoCellAnchor editAs="oneCell">
    <xdr:from>
      <xdr:col>26</xdr:col>
      <xdr:colOff>476663</xdr:colOff>
      <xdr:row>15</xdr:row>
      <xdr:rowOff>141632</xdr:rowOff>
    </xdr:from>
    <xdr:to>
      <xdr:col>29</xdr:col>
      <xdr:colOff>65920</xdr:colOff>
      <xdr:row>18</xdr:row>
      <xdr:rowOff>108893</xdr:rowOff>
    </xdr:to>
    <xdr:pic>
      <xdr:nvPicPr>
        <xdr:cNvPr id="25" name="Picture 50">
          <a:extLst>
            <a:ext uri="{FF2B5EF4-FFF2-40B4-BE49-F238E27FC236}">
              <a16:creationId xmlns:a16="http://schemas.microsoft.com/office/drawing/2014/main" id="{6F29E219-3832-47A3-9350-BCC660802CA1}"/>
            </a:ext>
          </a:extLst>
        </xdr:cNvPr>
        <xdr:cNvPicPr>
          <a:picLocks noChangeAspect="1"/>
        </xdr:cNvPicPr>
      </xdr:nvPicPr>
      <xdr:blipFill rotWithShape="1">
        <a:blip xmlns:r="http://schemas.openxmlformats.org/officeDocument/2006/relationships" r:embed="rId1"/>
        <a:srcRect l="19928" t="53460" r="16608" b="6924"/>
        <a:stretch/>
      </xdr:blipFill>
      <xdr:spPr>
        <a:xfrm>
          <a:off x="13935488" y="3723032"/>
          <a:ext cx="2046707" cy="519711"/>
        </a:xfrm>
        <a:prstGeom prst="rect">
          <a:avLst/>
        </a:prstGeom>
      </xdr:spPr>
    </xdr:pic>
    <xdr:clientData/>
  </xdr:twoCellAnchor>
  <xdr:twoCellAnchor editAs="oneCell">
    <xdr:from>
      <xdr:col>26</xdr:col>
      <xdr:colOff>226942</xdr:colOff>
      <xdr:row>20</xdr:row>
      <xdr:rowOff>53008</xdr:rowOff>
    </xdr:from>
    <xdr:to>
      <xdr:col>28</xdr:col>
      <xdr:colOff>635349</xdr:colOff>
      <xdr:row>23</xdr:row>
      <xdr:rowOff>1219</xdr:rowOff>
    </xdr:to>
    <xdr:pic>
      <xdr:nvPicPr>
        <xdr:cNvPr id="26" name="Picture 50">
          <a:extLst>
            <a:ext uri="{FF2B5EF4-FFF2-40B4-BE49-F238E27FC236}">
              <a16:creationId xmlns:a16="http://schemas.microsoft.com/office/drawing/2014/main" id="{5D7B9DDA-391E-4EAD-9064-C6A1CD30AF73}"/>
            </a:ext>
          </a:extLst>
        </xdr:cNvPr>
        <xdr:cNvPicPr>
          <a:picLocks noChangeAspect="1"/>
        </xdr:cNvPicPr>
      </xdr:nvPicPr>
      <xdr:blipFill rotWithShape="1">
        <a:blip xmlns:r="http://schemas.openxmlformats.org/officeDocument/2006/relationships" r:embed="rId1"/>
        <a:srcRect l="19928" t="53460" r="16608" b="6924"/>
        <a:stretch/>
      </xdr:blipFill>
      <xdr:spPr>
        <a:xfrm>
          <a:off x="22904725" y="4600160"/>
          <a:ext cx="2048363" cy="519711"/>
        </a:xfrm>
        <a:prstGeom prst="rect">
          <a:avLst/>
        </a:prstGeom>
      </xdr:spPr>
    </xdr:pic>
    <xdr:clientData/>
  </xdr:twoCellAnchor>
  <xdr:twoCellAnchor editAs="oneCell">
    <xdr:from>
      <xdr:col>26</xdr:col>
      <xdr:colOff>779318</xdr:colOff>
      <xdr:row>110</xdr:row>
      <xdr:rowOff>34636</xdr:rowOff>
    </xdr:from>
    <xdr:to>
      <xdr:col>28</xdr:col>
      <xdr:colOff>355503</xdr:colOff>
      <xdr:row>114</xdr:row>
      <xdr:rowOff>174481</xdr:rowOff>
    </xdr:to>
    <xdr:pic>
      <xdr:nvPicPr>
        <xdr:cNvPr id="27" name="Image 26">
          <a:extLst>
            <a:ext uri="{FF2B5EF4-FFF2-40B4-BE49-F238E27FC236}">
              <a16:creationId xmlns:a16="http://schemas.microsoft.com/office/drawing/2014/main" id="{006462B0-C82A-481D-B8B6-48917795802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431500" y="19223181"/>
          <a:ext cx="1204094" cy="90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44738</xdr:colOff>
      <xdr:row>156</xdr:row>
      <xdr:rowOff>111125</xdr:rowOff>
    </xdr:from>
    <xdr:to>
      <xdr:col>23</xdr:col>
      <xdr:colOff>514576</xdr:colOff>
      <xdr:row>162</xdr:row>
      <xdr:rowOff>23091</xdr:rowOff>
    </xdr:to>
    <xdr:pic>
      <xdr:nvPicPr>
        <xdr:cNvPr id="29" name="Picture 4">
          <a:extLst>
            <a:ext uri="{FF2B5EF4-FFF2-40B4-BE49-F238E27FC236}">
              <a16:creationId xmlns:a16="http://schemas.microsoft.com/office/drawing/2014/main" id="{AEBBBA57-48B5-444F-8632-B0FF8D119B2E}"/>
            </a:ext>
          </a:extLst>
        </xdr:cNvPr>
        <xdr:cNvPicPr>
          <a:picLocks noChangeAspect="1"/>
        </xdr:cNvPicPr>
      </xdr:nvPicPr>
      <xdr:blipFill rotWithShape="1">
        <a:blip xmlns:r="http://schemas.openxmlformats.org/officeDocument/2006/relationships" r:embed="rId7"/>
        <a:srcRect l="9804" t="707" r="21568" b="61408"/>
        <a:stretch/>
      </xdr:blipFill>
      <xdr:spPr>
        <a:xfrm>
          <a:off x="23650863" y="27987625"/>
          <a:ext cx="3771838" cy="959716"/>
        </a:xfrm>
        <a:prstGeom prst="rect">
          <a:avLst/>
        </a:prstGeom>
      </xdr:spPr>
    </xdr:pic>
    <xdr:clientData/>
  </xdr:twoCellAnchor>
  <xdr:twoCellAnchor editAs="oneCell">
    <xdr:from>
      <xdr:col>18</xdr:col>
      <xdr:colOff>793750</xdr:colOff>
      <xdr:row>170</xdr:row>
      <xdr:rowOff>124114</xdr:rowOff>
    </xdr:from>
    <xdr:to>
      <xdr:col>23</xdr:col>
      <xdr:colOff>449634</xdr:colOff>
      <xdr:row>173</xdr:row>
      <xdr:rowOff>92364</xdr:rowOff>
    </xdr:to>
    <xdr:pic>
      <xdr:nvPicPr>
        <xdr:cNvPr id="30" name="Picture 4">
          <a:extLst>
            <a:ext uri="{FF2B5EF4-FFF2-40B4-BE49-F238E27FC236}">
              <a16:creationId xmlns:a16="http://schemas.microsoft.com/office/drawing/2014/main" id="{0AEB3F8F-2A7D-4832-9227-B2B7C3070DAB}"/>
            </a:ext>
          </a:extLst>
        </xdr:cNvPr>
        <xdr:cNvPicPr>
          <a:picLocks noChangeAspect="1"/>
        </xdr:cNvPicPr>
      </xdr:nvPicPr>
      <xdr:blipFill rotWithShape="1">
        <a:blip xmlns:r="http://schemas.openxmlformats.org/officeDocument/2006/relationships" r:embed="rId7"/>
        <a:srcRect l="9804" t="707" r="21568" b="77939"/>
        <a:stretch/>
      </xdr:blipFill>
      <xdr:spPr>
        <a:xfrm>
          <a:off x="23574375" y="30524739"/>
          <a:ext cx="3783384" cy="539750"/>
        </a:xfrm>
        <a:prstGeom prst="rect">
          <a:avLst/>
        </a:prstGeom>
      </xdr:spPr>
    </xdr:pic>
    <xdr:clientData/>
  </xdr:twoCellAnchor>
  <xdr:twoCellAnchor editAs="oneCell">
    <xdr:from>
      <xdr:col>26</xdr:col>
      <xdr:colOff>380999</xdr:colOff>
      <xdr:row>137</xdr:row>
      <xdr:rowOff>79196</xdr:rowOff>
    </xdr:from>
    <xdr:to>
      <xdr:col>29</xdr:col>
      <xdr:colOff>631555</xdr:colOff>
      <xdr:row>140</xdr:row>
      <xdr:rowOff>83134</xdr:rowOff>
    </xdr:to>
    <xdr:pic>
      <xdr:nvPicPr>
        <xdr:cNvPr id="2" name="Image 1">
          <a:extLst>
            <a:ext uri="{FF2B5EF4-FFF2-40B4-BE49-F238E27FC236}">
              <a16:creationId xmlns:a16="http://schemas.microsoft.com/office/drawing/2014/main" id="{86FC7630-9494-4021-9A02-98E847685F14}"/>
            </a:ext>
          </a:extLst>
        </xdr:cNvPr>
        <xdr:cNvPicPr>
          <a:picLocks noChangeAspect="1"/>
        </xdr:cNvPicPr>
      </xdr:nvPicPr>
      <xdr:blipFill>
        <a:blip xmlns:r="http://schemas.openxmlformats.org/officeDocument/2006/relationships" r:embed="rId10"/>
        <a:stretch>
          <a:fillRect/>
        </a:stretch>
      </xdr:blipFill>
      <xdr:spPr>
        <a:xfrm>
          <a:off x="24812624" y="24463196"/>
          <a:ext cx="2727056" cy="543688"/>
        </a:xfrm>
        <a:prstGeom prst="rect">
          <a:avLst/>
        </a:prstGeom>
      </xdr:spPr>
    </xdr:pic>
    <xdr:clientData/>
  </xdr:twoCellAnchor>
  <xdr:twoCellAnchor editAs="oneCell">
    <xdr:from>
      <xdr:col>19</xdr:col>
      <xdr:colOff>585107</xdr:colOff>
      <xdr:row>163</xdr:row>
      <xdr:rowOff>175587</xdr:rowOff>
    </xdr:from>
    <xdr:to>
      <xdr:col>23</xdr:col>
      <xdr:colOff>241512</xdr:colOff>
      <xdr:row>168</xdr:row>
      <xdr:rowOff>132636</xdr:rowOff>
    </xdr:to>
    <xdr:pic>
      <xdr:nvPicPr>
        <xdr:cNvPr id="3" name="Image 2">
          <a:extLst>
            <a:ext uri="{FF2B5EF4-FFF2-40B4-BE49-F238E27FC236}">
              <a16:creationId xmlns:a16="http://schemas.microsoft.com/office/drawing/2014/main" id="{C9262DB5-509A-438F-A73C-CC1A8E7EAEE7}"/>
            </a:ext>
          </a:extLst>
        </xdr:cNvPr>
        <xdr:cNvPicPr>
          <a:picLocks noChangeAspect="1"/>
        </xdr:cNvPicPr>
      </xdr:nvPicPr>
      <xdr:blipFill>
        <a:blip xmlns:r="http://schemas.openxmlformats.org/officeDocument/2006/relationships" r:embed="rId11"/>
        <a:stretch>
          <a:fillRect/>
        </a:stretch>
      </xdr:blipFill>
      <xdr:spPr>
        <a:xfrm>
          <a:off x="24191232" y="29480837"/>
          <a:ext cx="2958405" cy="846049"/>
        </a:xfrm>
        <a:prstGeom prst="rect">
          <a:avLst/>
        </a:prstGeom>
      </xdr:spPr>
    </xdr:pic>
    <xdr:clientData/>
  </xdr:twoCellAnchor>
  <xdr:twoCellAnchor editAs="oneCell">
    <xdr:from>
      <xdr:col>19</xdr:col>
      <xdr:colOff>793750</xdr:colOff>
      <xdr:row>177</xdr:row>
      <xdr:rowOff>146246</xdr:rowOff>
    </xdr:from>
    <xdr:to>
      <xdr:col>25</xdr:col>
      <xdr:colOff>763491</xdr:colOff>
      <xdr:row>180</xdr:row>
      <xdr:rowOff>167493</xdr:rowOff>
    </xdr:to>
    <xdr:pic>
      <xdr:nvPicPr>
        <xdr:cNvPr id="4" name="Image 3">
          <a:extLst>
            <a:ext uri="{FF2B5EF4-FFF2-40B4-BE49-F238E27FC236}">
              <a16:creationId xmlns:a16="http://schemas.microsoft.com/office/drawing/2014/main" id="{8BB21284-8072-4889-9922-7AA76955A691}"/>
            </a:ext>
          </a:extLst>
        </xdr:cNvPr>
        <xdr:cNvPicPr>
          <a:picLocks noChangeAspect="1"/>
        </xdr:cNvPicPr>
      </xdr:nvPicPr>
      <xdr:blipFill>
        <a:blip xmlns:r="http://schemas.openxmlformats.org/officeDocument/2006/relationships" r:embed="rId12"/>
        <a:stretch>
          <a:fillRect/>
        </a:stretch>
      </xdr:blipFill>
      <xdr:spPr>
        <a:xfrm>
          <a:off x="24399875" y="31848621"/>
          <a:ext cx="4922741" cy="57687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23</xdr:col>
      <xdr:colOff>415637</xdr:colOff>
      <xdr:row>24</xdr:row>
      <xdr:rowOff>16688</xdr:rowOff>
    </xdr:from>
    <xdr:to>
      <xdr:col>25</xdr:col>
      <xdr:colOff>515728</xdr:colOff>
      <xdr:row>27</xdr:row>
      <xdr:rowOff>102386</xdr:rowOff>
    </xdr:to>
    <xdr:pic>
      <xdr:nvPicPr>
        <xdr:cNvPr id="2" name="Image 1">
          <a:extLst>
            <a:ext uri="{FF2B5EF4-FFF2-40B4-BE49-F238E27FC236}">
              <a16:creationId xmlns:a16="http://schemas.microsoft.com/office/drawing/2014/main" id="{7D402850-2556-42A3-B92A-9580CAA28951}"/>
            </a:ext>
          </a:extLst>
        </xdr:cNvPr>
        <xdr:cNvPicPr>
          <a:picLocks noChangeAspect="1"/>
        </xdr:cNvPicPr>
      </xdr:nvPicPr>
      <xdr:blipFill>
        <a:blip xmlns:r="http://schemas.openxmlformats.org/officeDocument/2006/relationships" r:embed="rId1"/>
        <a:stretch>
          <a:fillRect/>
        </a:stretch>
      </xdr:blipFill>
      <xdr:spPr>
        <a:xfrm>
          <a:off x="26254364" y="5870233"/>
          <a:ext cx="1728000" cy="709153"/>
        </a:xfrm>
        <a:prstGeom prst="rect">
          <a:avLst/>
        </a:prstGeom>
      </xdr:spPr>
    </xdr:pic>
    <xdr:clientData/>
  </xdr:twoCellAnchor>
  <xdr:twoCellAnchor editAs="oneCell">
    <xdr:from>
      <xdr:col>22</xdr:col>
      <xdr:colOff>794994</xdr:colOff>
      <xdr:row>8</xdr:row>
      <xdr:rowOff>17319</xdr:rowOff>
    </xdr:from>
    <xdr:to>
      <xdr:col>25</xdr:col>
      <xdr:colOff>585052</xdr:colOff>
      <xdr:row>12</xdr:row>
      <xdr:rowOff>15796</xdr:rowOff>
    </xdr:to>
    <xdr:pic>
      <xdr:nvPicPr>
        <xdr:cNvPr id="3" name="Image 2">
          <a:extLst>
            <a:ext uri="{FF2B5EF4-FFF2-40B4-BE49-F238E27FC236}">
              <a16:creationId xmlns:a16="http://schemas.microsoft.com/office/drawing/2014/main" id="{B339B17C-DF3E-41F3-8407-15516EE598E8}"/>
            </a:ext>
          </a:extLst>
        </xdr:cNvPr>
        <xdr:cNvPicPr>
          <a:picLocks noChangeAspect="1"/>
        </xdr:cNvPicPr>
      </xdr:nvPicPr>
      <xdr:blipFill>
        <a:blip xmlns:r="http://schemas.openxmlformats.org/officeDocument/2006/relationships" r:embed="rId2"/>
        <a:stretch>
          <a:fillRect/>
        </a:stretch>
      </xdr:blipFill>
      <xdr:spPr>
        <a:xfrm>
          <a:off x="25819767" y="2615046"/>
          <a:ext cx="2231922" cy="829750"/>
        </a:xfrm>
        <a:prstGeom prst="rect">
          <a:avLst/>
        </a:prstGeom>
      </xdr:spPr>
    </xdr:pic>
    <xdr:clientData/>
  </xdr:twoCellAnchor>
  <xdr:oneCellAnchor>
    <xdr:from>
      <xdr:col>23</xdr:col>
      <xdr:colOff>294408</xdr:colOff>
      <xdr:row>33</xdr:row>
      <xdr:rowOff>138544</xdr:rowOff>
    </xdr:from>
    <xdr:ext cx="1935871" cy="719689"/>
    <xdr:pic>
      <xdr:nvPicPr>
        <xdr:cNvPr id="6" name="Image 5">
          <a:extLst>
            <a:ext uri="{FF2B5EF4-FFF2-40B4-BE49-F238E27FC236}">
              <a16:creationId xmlns:a16="http://schemas.microsoft.com/office/drawing/2014/main" id="{C59612B2-35C5-4421-BAC0-3137534FE74D}"/>
            </a:ext>
          </a:extLst>
        </xdr:cNvPr>
        <xdr:cNvPicPr>
          <a:picLocks noChangeAspect="1"/>
        </xdr:cNvPicPr>
      </xdr:nvPicPr>
      <xdr:blipFill>
        <a:blip xmlns:r="http://schemas.openxmlformats.org/officeDocument/2006/relationships" r:embed="rId2"/>
        <a:stretch>
          <a:fillRect/>
        </a:stretch>
      </xdr:blipFill>
      <xdr:spPr>
        <a:xfrm>
          <a:off x="26133135" y="6823362"/>
          <a:ext cx="1935871" cy="719689"/>
        </a:xfrm>
        <a:prstGeom prst="rect">
          <a:avLst/>
        </a:prstGeom>
      </xdr:spPr>
    </xdr:pic>
    <xdr:clientData/>
  </xdr:oneCellAnchor>
  <xdr:twoCellAnchor editAs="oneCell">
    <xdr:from>
      <xdr:col>23</xdr:col>
      <xdr:colOff>97983</xdr:colOff>
      <xdr:row>12</xdr:row>
      <xdr:rowOff>155864</xdr:rowOff>
    </xdr:from>
    <xdr:to>
      <xdr:col>25</xdr:col>
      <xdr:colOff>328724</xdr:colOff>
      <xdr:row>16</xdr:row>
      <xdr:rowOff>22707</xdr:rowOff>
    </xdr:to>
    <xdr:pic>
      <xdr:nvPicPr>
        <xdr:cNvPr id="7" name="Image 6">
          <a:extLst>
            <a:ext uri="{FF2B5EF4-FFF2-40B4-BE49-F238E27FC236}">
              <a16:creationId xmlns:a16="http://schemas.microsoft.com/office/drawing/2014/main" id="{323BE0C6-E5FE-4FC9-AB5A-242F8EAAA62A}"/>
            </a:ext>
          </a:extLst>
        </xdr:cNvPr>
        <xdr:cNvPicPr>
          <a:picLocks noChangeAspect="1"/>
        </xdr:cNvPicPr>
      </xdr:nvPicPr>
      <xdr:blipFill>
        <a:blip xmlns:r="http://schemas.openxmlformats.org/officeDocument/2006/relationships" r:embed="rId3"/>
        <a:stretch>
          <a:fillRect/>
        </a:stretch>
      </xdr:blipFill>
      <xdr:spPr>
        <a:xfrm>
          <a:off x="25936710" y="3584864"/>
          <a:ext cx="1858650" cy="663479"/>
        </a:xfrm>
        <a:prstGeom prst="rect">
          <a:avLst/>
        </a:prstGeom>
      </xdr:spPr>
    </xdr:pic>
    <xdr:clientData/>
  </xdr:twoCellAnchor>
  <xdr:twoCellAnchor editAs="oneCell">
    <xdr:from>
      <xdr:col>23</xdr:col>
      <xdr:colOff>198428</xdr:colOff>
      <xdr:row>16</xdr:row>
      <xdr:rowOff>204355</xdr:rowOff>
    </xdr:from>
    <xdr:to>
      <xdr:col>25</xdr:col>
      <xdr:colOff>429169</xdr:colOff>
      <xdr:row>20</xdr:row>
      <xdr:rowOff>71197</xdr:rowOff>
    </xdr:to>
    <xdr:pic>
      <xdr:nvPicPr>
        <xdr:cNvPr id="8" name="Image 7">
          <a:extLst>
            <a:ext uri="{FF2B5EF4-FFF2-40B4-BE49-F238E27FC236}">
              <a16:creationId xmlns:a16="http://schemas.microsoft.com/office/drawing/2014/main" id="{39A39848-20D5-480D-9C5C-4708F1F86857}"/>
            </a:ext>
          </a:extLst>
        </xdr:cNvPr>
        <xdr:cNvPicPr>
          <a:picLocks noChangeAspect="1"/>
        </xdr:cNvPicPr>
      </xdr:nvPicPr>
      <xdr:blipFill>
        <a:blip xmlns:r="http://schemas.openxmlformats.org/officeDocument/2006/relationships" r:embed="rId3"/>
        <a:stretch>
          <a:fillRect/>
        </a:stretch>
      </xdr:blipFill>
      <xdr:spPr>
        <a:xfrm>
          <a:off x="26037155" y="4429991"/>
          <a:ext cx="1858650" cy="663479"/>
        </a:xfrm>
        <a:prstGeom prst="rect">
          <a:avLst/>
        </a:prstGeom>
      </xdr:spPr>
    </xdr:pic>
    <xdr:clientData/>
  </xdr:twoCellAnchor>
  <xdr:twoCellAnchor editAs="oneCell">
    <xdr:from>
      <xdr:col>22</xdr:col>
      <xdr:colOff>190500</xdr:colOff>
      <xdr:row>44</xdr:row>
      <xdr:rowOff>0</xdr:rowOff>
    </xdr:from>
    <xdr:to>
      <xdr:col>25</xdr:col>
      <xdr:colOff>739903</xdr:colOff>
      <xdr:row>47</xdr:row>
      <xdr:rowOff>116130</xdr:rowOff>
    </xdr:to>
    <xdr:pic>
      <xdr:nvPicPr>
        <xdr:cNvPr id="10" name="Image 9">
          <a:extLst>
            <a:ext uri="{FF2B5EF4-FFF2-40B4-BE49-F238E27FC236}">
              <a16:creationId xmlns:a16="http://schemas.microsoft.com/office/drawing/2014/main" id="{D35B4CBB-2619-4E5C-AF51-E6F89D11C994}"/>
            </a:ext>
          </a:extLst>
        </xdr:cNvPr>
        <xdr:cNvPicPr>
          <a:picLocks noChangeAspect="1"/>
        </xdr:cNvPicPr>
      </xdr:nvPicPr>
      <xdr:blipFill>
        <a:blip xmlns:r="http://schemas.openxmlformats.org/officeDocument/2006/relationships" r:embed="rId4"/>
        <a:stretch>
          <a:fillRect/>
        </a:stretch>
      </xdr:blipFill>
      <xdr:spPr>
        <a:xfrm>
          <a:off x="25215273" y="8988136"/>
          <a:ext cx="2991267" cy="704948"/>
        </a:xfrm>
        <a:prstGeom prst="rect">
          <a:avLst/>
        </a:prstGeom>
      </xdr:spPr>
    </xdr:pic>
    <xdr:clientData/>
  </xdr:twoCellAnchor>
  <xdr:twoCellAnchor editAs="oneCell">
    <xdr:from>
      <xdr:col>22</xdr:col>
      <xdr:colOff>173182</xdr:colOff>
      <xdr:row>54</xdr:row>
      <xdr:rowOff>0</xdr:rowOff>
    </xdr:from>
    <xdr:to>
      <xdr:col>26</xdr:col>
      <xdr:colOff>3895</xdr:colOff>
      <xdr:row>57</xdr:row>
      <xdr:rowOff>201866</xdr:rowOff>
    </xdr:to>
    <xdr:pic>
      <xdr:nvPicPr>
        <xdr:cNvPr id="11" name="Image 10">
          <a:extLst>
            <a:ext uri="{FF2B5EF4-FFF2-40B4-BE49-F238E27FC236}">
              <a16:creationId xmlns:a16="http://schemas.microsoft.com/office/drawing/2014/main" id="{C3E1AAD3-F6A7-4007-B86F-4045711B0FBA}"/>
            </a:ext>
          </a:extLst>
        </xdr:cNvPr>
        <xdr:cNvPicPr>
          <a:picLocks noChangeAspect="1"/>
        </xdr:cNvPicPr>
      </xdr:nvPicPr>
      <xdr:blipFill>
        <a:blip xmlns:r="http://schemas.openxmlformats.org/officeDocument/2006/relationships" r:embed="rId5"/>
        <a:stretch>
          <a:fillRect/>
        </a:stretch>
      </xdr:blipFill>
      <xdr:spPr>
        <a:xfrm>
          <a:off x="25197955" y="9975272"/>
          <a:ext cx="3086531" cy="790685"/>
        </a:xfrm>
        <a:prstGeom prst="rect">
          <a:avLst/>
        </a:prstGeom>
      </xdr:spPr>
    </xdr:pic>
    <xdr:clientData/>
  </xdr:twoCellAnchor>
  <xdr:twoCellAnchor editAs="oneCell">
    <xdr:from>
      <xdr:col>22</xdr:col>
      <xdr:colOff>525556</xdr:colOff>
      <xdr:row>39</xdr:row>
      <xdr:rowOff>51955</xdr:rowOff>
    </xdr:from>
    <xdr:to>
      <xdr:col>25</xdr:col>
      <xdr:colOff>772885</xdr:colOff>
      <xdr:row>42</xdr:row>
      <xdr:rowOff>136943</xdr:rowOff>
    </xdr:to>
    <xdr:pic>
      <xdr:nvPicPr>
        <xdr:cNvPr id="12" name="Image 11">
          <a:extLst>
            <a:ext uri="{FF2B5EF4-FFF2-40B4-BE49-F238E27FC236}">
              <a16:creationId xmlns:a16="http://schemas.microsoft.com/office/drawing/2014/main" id="{8D4C8B77-E4EE-42C4-9A40-E725F12F6C00}"/>
            </a:ext>
          </a:extLst>
        </xdr:cNvPr>
        <xdr:cNvPicPr>
          <a:picLocks noChangeAspect="1"/>
        </xdr:cNvPicPr>
      </xdr:nvPicPr>
      <xdr:blipFill>
        <a:blip xmlns:r="http://schemas.openxmlformats.org/officeDocument/2006/relationships" r:embed="rId6"/>
        <a:stretch>
          <a:fillRect/>
        </a:stretch>
      </xdr:blipFill>
      <xdr:spPr>
        <a:xfrm>
          <a:off x="25550329" y="8001000"/>
          <a:ext cx="2689193" cy="708443"/>
        </a:xfrm>
        <a:prstGeom prst="rect">
          <a:avLst/>
        </a:prstGeom>
      </xdr:spPr>
    </xdr:pic>
    <xdr:clientData/>
  </xdr:twoCellAnchor>
  <xdr:twoCellAnchor editAs="oneCell">
    <xdr:from>
      <xdr:col>22</xdr:col>
      <xdr:colOff>415635</xdr:colOff>
      <xdr:row>49</xdr:row>
      <xdr:rowOff>74866</xdr:rowOff>
    </xdr:from>
    <xdr:to>
      <xdr:col>25</xdr:col>
      <xdr:colOff>654645</xdr:colOff>
      <xdr:row>52</xdr:row>
      <xdr:rowOff>872</xdr:rowOff>
    </xdr:to>
    <xdr:pic>
      <xdr:nvPicPr>
        <xdr:cNvPr id="13" name="Image 12">
          <a:extLst>
            <a:ext uri="{FF2B5EF4-FFF2-40B4-BE49-F238E27FC236}">
              <a16:creationId xmlns:a16="http://schemas.microsoft.com/office/drawing/2014/main" id="{887FF2A6-3527-4076-9392-83D4B99703A8}"/>
            </a:ext>
          </a:extLst>
        </xdr:cNvPr>
        <xdr:cNvPicPr>
          <a:picLocks noChangeAspect="1"/>
        </xdr:cNvPicPr>
      </xdr:nvPicPr>
      <xdr:blipFill>
        <a:blip xmlns:r="http://schemas.openxmlformats.org/officeDocument/2006/relationships" r:embed="rId7"/>
        <a:stretch>
          <a:fillRect/>
        </a:stretch>
      </xdr:blipFill>
      <xdr:spPr>
        <a:xfrm>
          <a:off x="25440408" y="10067457"/>
          <a:ext cx="2680874" cy="4455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704850</xdr:colOff>
      <xdr:row>45</xdr:row>
      <xdr:rowOff>49694</xdr:rowOff>
    </xdr:from>
    <xdr:to>
      <xdr:col>20</xdr:col>
      <xdr:colOff>165653</xdr:colOff>
      <xdr:row>60</xdr:row>
      <xdr:rowOff>38099</xdr:rowOff>
    </xdr:to>
    <xdr:graphicFrame macro="">
      <xdr:nvGraphicFramePr>
        <xdr:cNvPr id="3" name="Graphique 2">
          <a:extLst>
            <a:ext uri="{FF2B5EF4-FFF2-40B4-BE49-F238E27FC236}">
              <a16:creationId xmlns:a16="http://schemas.microsoft.com/office/drawing/2014/main" id="{DBA00FE2-B622-470E-BC72-3C8C07E83E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704850</xdr:colOff>
      <xdr:row>60</xdr:row>
      <xdr:rowOff>9525</xdr:rowOff>
    </xdr:from>
    <xdr:to>
      <xdr:col>20</xdr:col>
      <xdr:colOff>173935</xdr:colOff>
      <xdr:row>73</xdr:row>
      <xdr:rowOff>91109</xdr:rowOff>
    </xdr:to>
    <xdr:graphicFrame macro="">
      <xdr:nvGraphicFramePr>
        <xdr:cNvPr id="4" name="Graphique 3">
          <a:extLst>
            <a:ext uri="{FF2B5EF4-FFF2-40B4-BE49-F238E27FC236}">
              <a16:creationId xmlns:a16="http://schemas.microsoft.com/office/drawing/2014/main" id="{3B6ACF2E-0514-42D7-B139-AE06F0185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Trevisani Sandro" id="{E51D6520-DDBC-4A33-956C-25CCA6697861}" userId="S::sandro.trevisan@hes-so.ch::f6541969-7144-4f43-9c7a-582ba2eedd2d" providerId="AD"/>
</personList>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4-09-13T15:52:38.20" personId="{E51D6520-DDBC-4A33-956C-25CCA6697861}" id="{BBADFA35-A070-4766-B3A6-8125128EFADB}">
    <text>/m2?</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mailto:thomas.jusselme@hef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comments" Target="../comments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drawing" Target="../drawings/drawing10.xml"/><Relationship Id="rId4"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comments" Target="../comments6.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6.vml"/><Relationship Id="rId5" Type="http://schemas.openxmlformats.org/officeDocument/2006/relationships/drawing" Target="../drawings/drawing11.xml"/><Relationship Id="rId4"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comments" Target="../comments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vmlDrawing" Target="../drawings/vmlDrawing7.vml"/><Relationship Id="rId5" Type="http://schemas.openxmlformats.org/officeDocument/2006/relationships/drawing" Target="../drawings/drawing12.xml"/><Relationship Id="rId4"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42C08-7230-4125-8461-7FA47E5D7DE3}">
  <sheetPr codeName="Feuil1"/>
  <dimension ref="A1:S329"/>
  <sheetViews>
    <sheetView tabSelected="1" workbookViewId="0">
      <selection activeCell="E23" sqref="E23"/>
    </sheetView>
  </sheetViews>
  <sheetFormatPr baseColWidth="10" defaultColWidth="11" defaultRowHeight="15.75"/>
  <cols>
    <col min="1" max="1" width="2.625" style="258" customWidth="1"/>
    <col min="2" max="15" width="11" style="258"/>
  </cols>
  <sheetData>
    <row r="1" spans="2:19" s="258" customFormat="1" ht="54" customHeight="1">
      <c r="B1" s="1838" t="s">
        <v>0</v>
      </c>
      <c r="C1" s="1838"/>
      <c r="D1" s="1838"/>
      <c r="E1" s="1838"/>
      <c r="F1" s="1838"/>
      <c r="G1" s="1838"/>
      <c r="H1" s="1838"/>
      <c r="I1" s="1838"/>
      <c r="J1" s="1838"/>
      <c r="K1" s="1838"/>
      <c r="L1" s="1838"/>
      <c r="S1" s="894"/>
    </row>
    <row r="2" spans="2:19" s="258" customFormat="1">
      <c r="B2" s="258" t="s">
        <v>3631</v>
      </c>
    </row>
    <row r="3" spans="2:19" s="258" customFormat="1">
      <c r="B3" s="258" t="s">
        <v>1</v>
      </c>
    </row>
    <row r="4" spans="2:19" s="258" customFormat="1"/>
    <row r="5" spans="2:19" s="258" customFormat="1">
      <c r="B5" s="258" t="s">
        <v>3873</v>
      </c>
    </row>
    <row r="6" spans="2:19" s="258" customFormat="1">
      <c r="B6" s="258" t="s">
        <v>2</v>
      </c>
    </row>
    <row r="7" spans="2:19" s="258" customFormat="1">
      <c r="B7" s="258" t="s">
        <v>3</v>
      </c>
    </row>
    <row r="8" spans="2:19" s="258" customFormat="1"/>
    <row r="9" spans="2:19" s="258" customFormat="1" ht="18.600000000000001" customHeight="1">
      <c r="B9" s="258" t="s">
        <v>4</v>
      </c>
    </row>
    <row r="10" spans="2:19" s="258" customFormat="1"/>
    <row r="11" spans="2:19" s="258" customFormat="1">
      <c r="B11" s="258" t="s">
        <v>5</v>
      </c>
    </row>
    <row r="12" spans="2:19" s="258" customFormat="1">
      <c r="B12" s="258" t="s">
        <v>6</v>
      </c>
    </row>
    <row r="13" spans="2:19" s="258" customFormat="1"/>
    <row r="14" spans="2:19" s="258" customFormat="1">
      <c r="B14" s="258" t="s">
        <v>7</v>
      </c>
    </row>
    <row r="15" spans="2:19" s="258" customFormat="1"/>
    <row r="16" spans="2:19" s="258" customFormat="1">
      <c r="B16" s="258" t="s">
        <v>8</v>
      </c>
    </row>
    <row r="17" spans="2:11" s="258" customFormat="1">
      <c r="B17" s="258" t="s">
        <v>9</v>
      </c>
    </row>
    <row r="18" spans="2:11" s="258" customFormat="1"/>
    <row r="19" spans="2:11" s="258" customFormat="1">
      <c r="B19" s="258" t="s">
        <v>10</v>
      </c>
    </row>
    <row r="20" spans="2:11" s="258" customFormat="1">
      <c r="B20" s="258" t="s">
        <v>11</v>
      </c>
      <c r="C20" s="895" t="s">
        <v>12</v>
      </c>
    </row>
    <row r="21" spans="2:11" s="258" customFormat="1"/>
    <row r="22" spans="2:11" s="258" customFormat="1">
      <c r="B22" s="258" t="s">
        <v>4099</v>
      </c>
      <c r="D22" s="896">
        <v>45897</v>
      </c>
      <c r="K22" s="897"/>
    </row>
    <row r="23" spans="2:11" s="258" customFormat="1"/>
    <row r="24" spans="2:11" s="258" customFormat="1"/>
    <row r="25" spans="2:11" s="258" customFormat="1"/>
    <row r="26" spans="2:11" s="258" customFormat="1"/>
    <row r="27" spans="2:11" s="258" customFormat="1"/>
    <row r="28" spans="2:11" s="258" customFormat="1"/>
    <row r="29" spans="2:11" s="258" customFormat="1"/>
    <row r="30" spans="2:11" s="258" customFormat="1"/>
    <row r="31" spans="2:11" s="258" customFormat="1"/>
    <row r="32" spans="2:11" s="258" customFormat="1"/>
    <row r="33" s="258" customFormat="1"/>
    <row r="34" s="258" customFormat="1"/>
    <row r="35" s="258" customFormat="1"/>
    <row r="36" s="258" customFormat="1"/>
    <row r="37" s="258" customFormat="1"/>
    <row r="38" s="258" customFormat="1"/>
    <row r="39" s="258" customFormat="1"/>
    <row r="40" s="258" customFormat="1"/>
    <row r="41" s="258" customFormat="1"/>
    <row r="42" s="258" customFormat="1"/>
    <row r="43" s="258" customFormat="1"/>
    <row r="44" s="258" customFormat="1"/>
    <row r="45" s="258" customFormat="1"/>
    <row r="46" s="258" customFormat="1"/>
    <row r="47" s="258" customFormat="1"/>
    <row r="48" s="258" customFormat="1"/>
    <row r="49" s="258" customFormat="1"/>
    <row r="50" s="258" customFormat="1"/>
    <row r="51" s="258" customFormat="1"/>
    <row r="52" s="258" customFormat="1"/>
    <row r="53" s="258" customFormat="1"/>
    <row r="54" s="258" customFormat="1"/>
    <row r="55" s="258" customFormat="1"/>
    <row r="56" s="258" customFormat="1"/>
    <row r="57" s="258" customFormat="1"/>
    <row r="58" s="258" customFormat="1"/>
    <row r="59" s="258" customFormat="1"/>
    <row r="60" s="258" customFormat="1"/>
    <row r="61" s="258" customFormat="1"/>
    <row r="62" s="258" customFormat="1"/>
    <row r="63" s="258" customFormat="1"/>
    <row r="64" s="258" customFormat="1"/>
    <row r="65" s="258" customFormat="1"/>
    <row r="66" s="258" customFormat="1"/>
    <row r="67" s="258" customFormat="1"/>
    <row r="68" s="258" customFormat="1"/>
    <row r="69" s="258" customFormat="1"/>
    <row r="70" s="258" customFormat="1"/>
    <row r="71" s="258" customFormat="1"/>
    <row r="72" s="258" customFormat="1"/>
    <row r="73" s="258" customFormat="1"/>
    <row r="74" s="258" customFormat="1"/>
    <row r="75" s="258" customFormat="1"/>
    <row r="76" s="258" customFormat="1"/>
    <row r="77" s="258" customFormat="1"/>
    <row r="78" s="258" customFormat="1"/>
    <row r="79" s="258" customFormat="1"/>
    <row r="80" s="258" customFormat="1"/>
    <row r="81" s="258" customFormat="1"/>
    <row r="82" s="258" customFormat="1"/>
    <row r="83" s="258" customFormat="1"/>
    <row r="84" s="258" customFormat="1"/>
    <row r="85" s="258" customFormat="1"/>
    <row r="86" s="258" customFormat="1"/>
    <row r="87" s="258" customFormat="1"/>
    <row r="88" s="258" customFormat="1"/>
    <row r="89" s="258" customFormat="1"/>
    <row r="90" s="258" customFormat="1"/>
    <row r="91" s="258" customFormat="1"/>
    <row r="92" s="258" customFormat="1"/>
    <row r="93" s="258" customFormat="1"/>
    <row r="94" s="258" customFormat="1"/>
    <row r="95" s="258" customFormat="1"/>
    <row r="96" s="258" customFormat="1"/>
    <row r="97" s="258" customFormat="1"/>
    <row r="98" s="258" customFormat="1"/>
    <row r="99" s="258" customFormat="1"/>
    <row r="100" s="258" customFormat="1"/>
    <row r="101" s="258" customFormat="1"/>
    <row r="102" s="258" customFormat="1"/>
    <row r="103" s="258" customFormat="1"/>
    <row r="104" s="258" customFormat="1"/>
    <row r="105" s="258" customFormat="1"/>
    <row r="106" s="258" customFormat="1"/>
    <row r="107" s="258" customFormat="1"/>
    <row r="108" s="258" customFormat="1"/>
    <row r="109" s="258" customFormat="1"/>
    <row r="110" s="258" customFormat="1"/>
    <row r="111" s="258" customFormat="1"/>
    <row r="112" s="258" customFormat="1"/>
    <row r="113" s="258" customFormat="1"/>
    <row r="114" s="258" customFormat="1"/>
    <row r="115" s="258" customFormat="1"/>
    <row r="116" s="258" customFormat="1"/>
    <row r="117" s="258" customFormat="1"/>
    <row r="118" s="258" customFormat="1"/>
    <row r="119" s="258" customFormat="1"/>
    <row r="120" s="258" customFormat="1"/>
    <row r="121" s="258" customFormat="1"/>
    <row r="122" s="258" customFormat="1"/>
    <row r="123" s="258" customFormat="1"/>
    <row r="124" s="258" customFormat="1"/>
    <row r="125" s="258" customFormat="1"/>
    <row r="126" s="258" customFormat="1"/>
    <row r="127" s="258" customFormat="1"/>
    <row r="128" s="258" customFormat="1"/>
    <row r="129" s="258" customFormat="1"/>
    <row r="130" s="258" customFormat="1"/>
    <row r="131" s="258" customFormat="1"/>
    <row r="132" s="258" customFormat="1"/>
    <row r="133" s="258" customFormat="1"/>
    <row r="134" s="258" customFormat="1"/>
    <row r="135" s="258" customFormat="1"/>
    <row r="136" s="258" customFormat="1"/>
    <row r="137" s="258" customFormat="1"/>
    <row r="138" s="258" customFormat="1"/>
    <row r="139" s="258" customFormat="1"/>
    <row r="140" s="258" customFormat="1"/>
    <row r="141" s="258" customFormat="1"/>
    <row r="142" s="258" customFormat="1"/>
    <row r="143" s="258" customFormat="1"/>
    <row r="144" s="258" customFormat="1"/>
    <row r="145" s="258" customFormat="1"/>
    <row r="146" s="258" customFormat="1"/>
    <row r="147" s="258" customFormat="1"/>
    <row r="148" s="258" customFormat="1"/>
    <row r="149" s="258" customFormat="1"/>
    <row r="150" s="258" customFormat="1"/>
    <row r="151" s="258" customFormat="1"/>
    <row r="152" s="258" customFormat="1"/>
    <row r="153" s="258" customFormat="1"/>
    <row r="154" s="258" customFormat="1"/>
    <row r="155" s="258" customFormat="1"/>
    <row r="156" s="258" customFormat="1"/>
    <row r="157" s="258" customFormat="1"/>
    <row r="158" s="258" customFormat="1"/>
    <row r="159" s="258" customFormat="1"/>
    <row r="160" s="258" customFormat="1"/>
    <row r="161" s="258" customFormat="1"/>
    <row r="162" s="258" customFormat="1"/>
    <row r="163" s="258" customFormat="1"/>
    <row r="164" s="258" customFormat="1"/>
    <row r="165" s="258" customFormat="1"/>
    <row r="166" s="258" customFormat="1"/>
    <row r="167" s="258" customFormat="1"/>
    <row r="168" s="258" customFormat="1"/>
    <row r="169" s="258" customFormat="1"/>
    <row r="170" s="258" customFormat="1"/>
    <row r="171" s="258" customFormat="1"/>
    <row r="172" s="258" customFormat="1"/>
    <row r="173" s="258" customFormat="1"/>
    <row r="174" s="258" customFormat="1"/>
    <row r="175" s="258" customFormat="1"/>
    <row r="176" s="258" customFormat="1"/>
    <row r="177" s="258" customFormat="1"/>
    <row r="178" s="258" customFormat="1"/>
    <row r="179" s="258" customFormat="1"/>
    <row r="180" s="258" customFormat="1"/>
    <row r="181" s="258" customFormat="1"/>
    <row r="182" s="258" customFormat="1"/>
    <row r="183" s="258" customFormat="1"/>
    <row r="184" s="258" customFormat="1"/>
    <row r="185" s="258" customFormat="1"/>
    <row r="186" s="258" customFormat="1"/>
    <row r="187" s="258" customFormat="1"/>
    <row r="188" s="258" customFormat="1"/>
    <row r="189" s="258" customFormat="1"/>
    <row r="190" s="258" customFormat="1"/>
    <row r="191" s="258" customFormat="1"/>
    <row r="192" s="258" customFormat="1"/>
    <row r="193" s="258" customFormat="1"/>
    <row r="194" s="258" customFormat="1"/>
    <row r="195" s="258" customFormat="1"/>
    <row r="196" s="258" customFormat="1"/>
    <row r="197" s="258" customFormat="1"/>
    <row r="198" s="258" customFormat="1"/>
    <row r="199" s="258" customFormat="1"/>
    <row r="200" s="258" customFormat="1"/>
    <row r="201" s="258" customFormat="1"/>
    <row r="202" s="258" customFormat="1"/>
    <row r="203" s="258" customFormat="1"/>
    <row r="204" s="258" customFormat="1"/>
    <row r="205" s="258" customFormat="1"/>
    <row r="206" s="258" customFormat="1"/>
    <row r="207" s="258" customFormat="1"/>
    <row r="208" s="258" customFormat="1"/>
    <row r="209" s="258" customFormat="1"/>
    <row r="210" s="258" customFormat="1"/>
    <row r="211" s="258" customFormat="1"/>
    <row r="212" s="258" customFormat="1"/>
    <row r="213" s="258" customFormat="1"/>
    <row r="214" s="258" customFormat="1"/>
    <row r="215" s="258" customFormat="1"/>
    <row r="216" s="258" customFormat="1"/>
    <row r="217" s="258" customFormat="1"/>
    <row r="218" s="258" customFormat="1"/>
    <row r="219" s="258" customFormat="1"/>
    <row r="220" s="258" customFormat="1"/>
    <row r="221" s="258" customFormat="1"/>
    <row r="222" s="258" customFormat="1"/>
    <row r="223" s="258" customFormat="1"/>
    <row r="224" s="258" customFormat="1"/>
    <row r="225" s="258" customFormat="1"/>
    <row r="226" s="258" customFormat="1"/>
    <row r="227" s="258" customFormat="1"/>
    <row r="228" s="258" customFormat="1"/>
    <row r="229" s="258" customFormat="1"/>
    <row r="230" s="258" customFormat="1"/>
    <row r="231" s="258" customFormat="1"/>
    <row r="232" s="258" customFormat="1"/>
    <row r="233" s="258" customFormat="1"/>
    <row r="234" s="258" customFormat="1"/>
    <row r="235" s="258" customFormat="1"/>
    <row r="236" s="258" customFormat="1"/>
    <row r="237" s="258" customFormat="1"/>
    <row r="238" s="258" customFormat="1"/>
    <row r="239" s="258" customFormat="1"/>
    <row r="240" s="258" customFormat="1"/>
    <row r="241" s="258" customFormat="1"/>
    <row r="242" s="258" customFormat="1"/>
    <row r="243" s="258" customFormat="1"/>
    <row r="244" s="258" customFormat="1"/>
    <row r="245" s="258" customFormat="1"/>
    <row r="246" s="258" customFormat="1"/>
    <row r="247" s="258" customFormat="1"/>
    <row r="248" s="258" customFormat="1"/>
    <row r="249" s="258" customFormat="1"/>
    <row r="250" s="258" customFormat="1"/>
    <row r="251" s="258" customFormat="1"/>
    <row r="252" s="258" customFormat="1"/>
    <row r="253" s="258" customFormat="1"/>
    <row r="254" s="258" customFormat="1"/>
    <row r="255" s="258" customFormat="1"/>
    <row r="256" s="258" customFormat="1"/>
    <row r="257" s="258" customFormat="1"/>
    <row r="258" s="258" customFormat="1"/>
    <row r="259" s="258" customFormat="1"/>
    <row r="260" s="258" customFormat="1"/>
    <row r="261" s="258" customFormat="1"/>
    <row r="262" s="258" customFormat="1"/>
    <row r="263" s="258" customFormat="1"/>
    <row r="264" s="258" customFormat="1"/>
    <row r="265" s="258" customFormat="1"/>
    <row r="266" s="258" customFormat="1"/>
    <row r="267" s="258" customFormat="1"/>
    <row r="268" s="258" customFormat="1"/>
    <row r="269" s="258" customFormat="1"/>
    <row r="270" s="258" customFormat="1"/>
    <row r="271" s="258" customFormat="1"/>
    <row r="272" s="258" customFormat="1"/>
    <row r="273" s="258" customFormat="1"/>
    <row r="274" s="258" customFormat="1"/>
    <row r="275" s="258" customFormat="1"/>
    <row r="276" s="258" customFormat="1"/>
    <row r="277" s="258" customFormat="1"/>
    <row r="278" s="258" customFormat="1"/>
    <row r="279" s="258" customFormat="1"/>
    <row r="280" s="258" customFormat="1"/>
    <row r="281" s="258" customFormat="1"/>
    <row r="282" s="258" customFormat="1"/>
    <row r="283" s="258" customFormat="1"/>
    <row r="284" s="258" customFormat="1"/>
    <row r="285" s="258" customFormat="1"/>
    <row r="286" s="258" customFormat="1"/>
    <row r="287" s="258" customFormat="1"/>
    <row r="288" s="258" customFormat="1"/>
    <row r="289" s="258" customFormat="1"/>
    <row r="290" s="258" customFormat="1"/>
    <row r="291" s="258" customFormat="1"/>
    <row r="292" s="258" customFormat="1"/>
    <row r="293" s="258" customFormat="1"/>
    <row r="294" s="258" customFormat="1"/>
    <row r="295" s="258" customFormat="1"/>
    <row r="296" s="258" customFormat="1"/>
    <row r="297" s="258" customFormat="1"/>
    <row r="298" s="258" customFormat="1"/>
    <row r="299" s="258" customFormat="1"/>
    <row r="300" s="258" customFormat="1"/>
    <row r="301" s="258" customFormat="1"/>
    <row r="302" s="258" customFormat="1"/>
    <row r="303" s="258" customFormat="1"/>
    <row r="304" s="258" customFormat="1"/>
    <row r="305" s="258" customFormat="1"/>
    <row r="306" s="258" customFormat="1"/>
    <row r="307" s="258" customFormat="1"/>
    <row r="308" s="258" customFormat="1"/>
    <row r="309" s="258" customFormat="1"/>
    <row r="310" s="258" customFormat="1"/>
    <row r="311" s="258" customFormat="1"/>
    <row r="312" s="258" customFormat="1"/>
    <row r="313" s="258" customFormat="1"/>
    <row r="314" s="258" customFormat="1"/>
    <row r="315" s="258" customFormat="1"/>
    <row r="316" s="258" customFormat="1"/>
    <row r="317" s="258" customFormat="1"/>
    <row r="318" s="258" customFormat="1"/>
    <row r="319" s="258" customFormat="1"/>
    <row r="320" s="258" customFormat="1"/>
    <row r="321" s="258" customFormat="1"/>
    <row r="322" s="258" customFormat="1"/>
    <row r="323" s="258" customFormat="1"/>
    <row r="324" s="258" customFormat="1"/>
    <row r="325" s="258" customFormat="1"/>
    <row r="326" s="258" customFormat="1"/>
    <row r="327" s="258" customFormat="1"/>
    <row r="328" s="258" customFormat="1"/>
    <row r="329" s="258" customFormat="1"/>
  </sheetData>
  <customSheetViews>
    <customSheetView guid="{B32447E2-AB5B-4CBB-881B-FF11349CA4D6}" state="hidden">
      <selection activeCell="A15" sqref="A15"/>
      <pageMargins left="0" right="0" top="0" bottom="0" header="0" footer="0"/>
      <pageSetup paperSize="9" orientation="portrait" r:id="rId1"/>
    </customSheetView>
    <customSheetView guid="{9FA74287-E657-475B-BF4B-3C8C757714AE}" state="hidden">
      <selection activeCell="A15" sqref="A15"/>
      <pageMargins left="0" right="0" top="0" bottom="0" header="0" footer="0"/>
      <pageSetup paperSize="9" orientation="portrait" r:id="rId2"/>
    </customSheetView>
    <customSheetView guid="{54A7C567-FA7D-467E-B353-ECB5E61AE756}" topLeftCell="A4">
      <selection activeCell="B13" sqref="B13"/>
      <pageMargins left="0" right="0" top="0" bottom="0" header="0" footer="0"/>
      <pageSetup paperSize="9" orientation="portrait" r:id="rId3"/>
    </customSheetView>
  </customSheetViews>
  <mergeCells count="1">
    <mergeCell ref="B1:L1"/>
  </mergeCells>
  <hyperlinks>
    <hyperlink ref="C20" r:id="rId4" xr:uid="{D2FAEAE1-81D7-42BE-BD94-5F0A28A5BD4B}"/>
  </hyperlinks>
  <pageMargins left="0" right="0" top="0" bottom="0" header="0" footer="0"/>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A2415-9516-4662-9185-5085F808DA2F}">
  <sheetPr codeName="Feuil2">
    <pageSetUpPr fitToPage="1"/>
  </sheetPr>
  <dimension ref="A1:X100"/>
  <sheetViews>
    <sheetView workbookViewId="0">
      <selection activeCell="E19" sqref="E19"/>
    </sheetView>
  </sheetViews>
  <sheetFormatPr baseColWidth="10" defaultColWidth="11" defaultRowHeight="15.75"/>
  <cols>
    <col min="1" max="1" width="3.125" style="258" customWidth="1"/>
    <col min="2" max="2" width="11" style="258" customWidth="1"/>
    <col min="3" max="12" width="11" style="258"/>
    <col min="13" max="13" width="24" style="258" customWidth="1"/>
    <col min="14" max="24" width="11" style="258"/>
  </cols>
  <sheetData>
    <row r="1" spans="1:22" s="258" customFormat="1" ht="36.75" customHeight="1">
      <c r="A1" s="1840" t="s">
        <v>0</v>
      </c>
      <c r="B1" s="1840"/>
      <c r="C1" s="1840"/>
      <c r="D1" s="1840"/>
      <c r="E1" s="1840"/>
      <c r="F1" s="1840"/>
      <c r="G1" s="1840"/>
      <c r="H1" s="1840"/>
      <c r="I1" s="1840"/>
      <c r="J1" s="1840"/>
      <c r="K1" s="1840"/>
      <c r="L1" s="1840"/>
      <c r="M1" s="1840"/>
      <c r="N1" s="1840"/>
      <c r="O1" s="1840"/>
      <c r="V1" s="894"/>
    </row>
    <row r="2" spans="1:22" s="258" customFormat="1"/>
    <row r="3" spans="1:22" s="258" customFormat="1">
      <c r="B3" s="893" t="s">
        <v>13</v>
      </c>
    </row>
    <row r="4" spans="1:22" s="258" customFormat="1">
      <c r="B4" s="258" t="s">
        <v>3632</v>
      </c>
    </row>
    <row r="5" spans="1:22" s="258" customFormat="1">
      <c r="B5" s="258" t="s">
        <v>3660</v>
      </c>
    </row>
    <row r="6" spans="1:22" s="258" customFormat="1">
      <c r="B6" s="258" t="s">
        <v>3661</v>
      </c>
    </row>
    <row r="7" spans="1:22" s="258" customFormat="1"/>
    <row r="8" spans="1:22" s="258" customFormat="1">
      <c r="B8" s="893" t="s">
        <v>14</v>
      </c>
    </row>
    <row r="9" spans="1:22" s="258" customFormat="1"/>
    <row r="10" spans="1:22" s="258" customFormat="1">
      <c r="B10" s="258" t="s">
        <v>15</v>
      </c>
    </row>
    <row r="11" spans="1:22" s="258" customFormat="1"/>
    <row r="12" spans="1:22" s="258" customFormat="1">
      <c r="B12" s="258" t="s">
        <v>16</v>
      </c>
      <c r="N12" s="1841" t="s">
        <v>17</v>
      </c>
      <c r="O12" s="1841"/>
      <c r="P12" s="1841"/>
    </row>
    <row r="13" spans="1:22" s="258" customFormat="1"/>
    <row r="14" spans="1:22" s="258" customFormat="1">
      <c r="B14" s="258" t="s">
        <v>18</v>
      </c>
    </row>
    <row r="15" spans="1:22" s="258" customFormat="1">
      <c r="B15" s="258" t="s">
        <v>3633</v>
      </c>
      <c r="N15" s="1839" t="s">
        <v>19</v>
      </c>
      <c r="O15" s="1839"/>
      <c r="P15" s="1839"/>
    </row>
    <row r="16" spans="1:22" s="258" customFormat="1"/>
    <row r="17" spans="2:2" s="258" customFormat="1"/>
    <row r="18" spans="2:2" s="258" customFormat="1">
      <c r="B18" s="893" t="s">
        <v>20</v>
      </c>
    </row>
    <row r="19" spans="2:2" s="258" customFormat="1"/>
    <row r="20" spans="2:2" s="258" customFormat="1">
      <c r="B20" s="258" t="s">
        <v>3634</v>
      </c>
    </row>
    <row r="21" spans="2:2" s="258" customFormat="1">
      <c r="B21" s="258" t="s">
        <v>3635</v>
      </c>
    </row>
    <row r="22" spans="2:2" s="258" customFormat="1">
      <c r="B22" s="258" t="s">
        <v>4055</v>
      </c>
    </row>
    <row r="23" spans="2:2" s="258" customFormat="1">
      <c r="B23" s="258" t="s">
        <v>4056</v>
      </c>
    </row>
    <row r="24" spans="2:2" s="258" customFormat="1">
      <c r="B24" s="258" t="s">
        <v>4057</v>
      </c>
    </row>
    <row r="25" spans="2:2" s="258" customFormat="1"/>
    <row r="26" spans="2:2" s="258" customFormat="1">
      <c r="B26" s="258" t="s">
        <v>4058</v>
      </c>
    </row>
    <row r="27" spans="2:2" s="258" customFormat="1">
      <c r="B27" s="258" t="s">
        <v>4059</v>
      </c>
    </row>
    <row r="28" spans="2:2" s="258" customFormat="1"/>
    <row r="29" spans="2:2" s="258" customFormat="1">
      <c r="B29" s="258" t="s">
        <v>4060</v>
      </c>
    </row>
    <row r="30" spans="2:2" s="258" customFormat="1"/>
    <row r="31" spans="2:2" s="258" customFormat="1">
      <c r="B31" s="258" t="s">
        <v>4061</v>
      </c>
    </row>
    <row r="32" spans="2:2" s="258" customFormat="1"/>
    <row r="33" spans="2:2" s="258" customFormat="1">
      <c r="B33" s="1002" t="s">
        <v>21</v>
      </c>
    </row>
    <row r="34" spans="2:2" s="258" customFormat="1"/>
    <row r="35" spans="2:2" s="258" customFormat="1">
      <c r="B35" s="258" t="s">
        <v>22</v>
      </c>
    </row>
    <row r="36" spans="2:2" s="258" customFormat="1">
      <c r="B36" s="258" t="s">
        <v>23</v>
      </c>
    </row>
    <row r="37" spans="2:2" s="258" customFormat="1">
      <c r="B37" s="258" t="s">
        <v>24</v>
      </c>
    </row>
    <row r="38" spans="2:2" s="258" customFormat="1"/>
    <row r="39" spans="2:2" s="258" customFormat="1">
      <c r="B39" s="893" t="s">
        <v>25</v>
      </c>
    </row>
    <row r="40" spans="2:2" s="258" customFormat="1">
      <c r="B40" s="258" t="s">
        <v>26</v>
      </c>
    </row>
    <row r="41" spans="2:2" s="258" customFormat="1">
      <c r="B41" s="258" t="s">
        <v>3636</v>
      </c>
    </row>
    <row r="42" spans="2:2" s="258" customFormat="1">
      <c r="B42" s="258" t="s">
        <v>3637</v>
      </c>
    </row>
    <row r="43" spans="2:2" s="258" customFormat="1"/>
    <row r="44" spans="2:2" s="258" customFormat="1">
      <c r="B44" s="258" t="s">
        <v>27</v>
      </c>
    </row>
    <row r="45" spans="2:2" s="258" customFormat="1"/>
    <row r="46" spans="2:2" s="258" customFormat="1">
      <c r="B46" s="893" t="s">
        <v>4062</v>
      </c>
    </row>
    <row r="47" spans="2:2" s="258" customFormat="1">
      <c r="B47" s="258" t="s">
        <v>4063</v>
      </c>
    </row>
    <row r="48" spans="2:2" s="258" customFormat="1"/>
    <row r="49" spans="2:6" s="258" customFormat="1">
      <c r="B49" s="893" t="s">
        <v>28</v>
      </c>
    </row>
    <row r="50" spans="2:6" s="258" customFormat="1">
      <c r="B50" s="893"/>
    </row>
    <row r="51" spans="2:6" s="258" customFormat="1">
      <c r="B51" s="258" t="s">
        <v>29</v>
      </c>
    </row>
    <row r="52" spans="2:6" s="258" customFormat="1">
      <c r="B52" s="258" t="s">
        <v>3639</v>
      </c>
    </row>
    <row r="53" spans="2:6" s="258" customFormat="1">
      <c r="B53" s="258" t="s">
        <v>3640</v>
      </c>
    </row>
    <row r="54" spans="2:6" s="258" customFormat="1"/>
    <row r="55" spans="2:6" s="258" customFormat="1">
      <c r="B55" s="258" t="s">
        <v>30</v>
      </c>
    </row>
    <row r="56" spans="2:6" s="258" customFormat="1">
      <c r="C56" s="258" t="s">
        <v>31</v>
      </c>
      <c r="F56" s="258" t="s">
        <v>32</v>
      </c>
    </row>
    <row r="57" spans="2:6" s="258" customFormat="1">
      <c r="C57" s="258" t="s">
        <v>33</v>
      </c>
      <c r="F57" s="258" t="s">
        <v>34</v>
      </c>
    </row>
    <row r="58" spans="2:6" s="258" customFormat="1">
      <c r="C58" s="258" t="s">
        <v>35</v>
      </c>
    </row>
    <row r="59" spans="2:6" s="258" customFormat="1"/>
    <row r="60" spans="2:6" s="258" customFormat="1">
      <c r="B60" s="258" t="s">
        <v>36</v>
      </c>
    </row>
    <row r="61" spans="2:6" s="258" customFormat="1">
      <c r="C61" s="258" t="s">
        <v>37</v>
      </c>
      <c r="F61" s="258" t="s">
        <v>38</v>
      </c>
    </row>
    <row r="62" spans="2:6" s="258" customFormat="1">
      <c r="C62" s="258" t="s">
        <v>39</v>
      </c>
      <c r="F62" s="258" t="s">
        <v>40</v>
      </c>
    </row>
    <row r="63" spans="2:6" s="258" customFormat="1">
      <c r="C63" s="258" t="s">
        <v>41</v>
      </c>
      <c r="F63" s="258" t="s">
        <v>4052</v>
      </c>
    </row>
    <row r="64" spans="2:6" s="258" customFormat="1">
      <c r="C64" s="258" t="s">
        <v>42</v>
      </c>
    </row>
    <row r="65" spans="2:6" s="258" customFormat="1"/>
    <row r="66" spans="2:6" s="258" customFormat="1">
      <c r="B66" s="258" t="s">
        <v>43</v>
      </c>
    </row>
    <row r="67" spans="2:6" s="258" customFormat="1">
      <c r="C67" s="258" t="s">
        <v>44</v>
      </c>
      <c r="F67" s="258" t="s">
        <v>45</v>
      </c>
    </row>
    <row r="68" spans="2:6" s="258" customFormat="1">
      <c r="C68" s="258" t="s">
        <v>46</v>
      </c>
      <c r="F68" s="258" t="s">
        <v>47</v>
      </c>
    </row>
    <row r="69" spans="2:6" s="258" customFormat="1">
      <c r="C69" s="258" t="s">
        <v>48</v>
      </c>
    </row>
    <row r="70" spans="2:6" s="258" customFormat="1"/>
    <row r="71" spans="2:6" s="258" customFormat="1"/>
    <row r="72" spans="2:6" s="258" customFormat="1">
      <c r="B72" s="893" t="s">
        <v>49</v>
      </c>
    </row>
    <row r="73" spans="2:6" s="258" customFormat="1"/>
    <row r="74" spans="2:6" s="258" customFormat="1">
      <c r="B74" s="258" t="s">
        <v>50</v>
      </c>
    </row>
    <row r="75" spans="2:6" s="258" customFormat="1"/>
    <row r="76" spans="2:6" s="258" customFormat="1">
      <c r="B76" s="258" t="s">
        <v>51</v>
      </c>
    </row>
    <row r="77" spans="2:6">
      <c r="B77" s="258" t="s">
        <v>3638</v>
      </c>
    </row>
    <row r="78" spans="2:6">
      <c r="B78" s="1163" t="s">
        <v>52</v>
      </c>
    </row>
    <row r="79" spans="2:6">
      <c r="B79" s="258" t="s">
        <v>53</v>
      </c>
    </row>
    <row r="80" spans="2:6">
      <c r="B80" s="258" t="s">
        <v>54</v>
      </c>
    </row>
    <row r="81" spans="2:2">
      <c r="B81" s="258" t="s">
        <v>55</v>
      </c>
    </row>
    <row r="83" spans="2:2">
      <c r="B83" s="1164" t="s">
        <v>56</v>
      </c>
    </row>
    <row r="84" spans="2:2">
      <c r="B84" s="1164" t="s">
        <v>57</v>
      </c>
    </row>
    <row r="85" spans="2:2">
      <c r="B85" s="1164" t="s">
        <v>58</v>
      </c>
    </row>
    <row r="86" spans="2:2">
      <c r="B86" s="1164" t="s">
        <v>59</v>
      </c>
    </row>
    <row r="87" spans="2:2">
      <c r="B87" s="1164" t="s">
        <v>60</v>
      </c>
    </row>
    <row r="88" spans="2:2">
      <c r="B88" s="1164" t="s">
        <v>61</v>
      </c>
    </row>
    <row r="89" spans="2:2">
      <c r="B89" s="1164" t="s">
        <v>62</v>
      </c>
    </row>
    <row r="90" spans="2:2">
      <c r="B90" s="1080" t="s">
        <v>63</v>
      </c>
    </row>
    <row r="91" spans="2:2">
      <c r="B91" s="1164" t="s">
        <v>64</v>
      </c>
    </row>
    <row r="92" spans="2:2">
      <c r="B92" s="1164" t="s">
        <v>65</v>
      </c>
    </row>
    <row r="93" spans="2:2">
      <c r="B93" s="1164" t="s">
        <v>66</v>
      </c>
    </row>
    <row r="94" spans="2:2">
      <c r="B94" s="1164" t="s">
        <v>67</v>
      </c>
    </row>
    <row r="95" spans="2:2">
      <c r="B95" s="1164" t="s">
        <v>68</v>
      </c>
    </row>
    <row r="96" spans="2:2">
      <c r="B96" s="1164"/>
    </row>
    <row r="97" spans="2:2">
      <c r="B97" s="1164" t="s">
        <v>69</v>
      </c>
    </row>
    <row r="98" spans="2:2">
      <c r="B98" s="1164"/>
    </row>
    <row r="99" spans="2:2">
      <c r="B99" s="1164" t="s">
        <v>70</v>
      </c>
    </row>
    <row r="100" spans="2:2">
      <c r="B100" s="1164" t="s">
        <v>71</v>
      </c>
    </row>
  </sheetData>
  <customSheetViews>
    <customSheetView guid="{54A7C567-FA7D-467E-B353-ECB5E61AE756}">
      <selection activeCell="A4" sqref="A4"/>
      <pageMargins left="0" right="0" top="0" bottom="0" header="0" footer="0"/>
    </customSheetView>
  </customSheetViews>
  <mergeCells count="3">
    <mergeCell ref="N15:P15"/>
    <mergeCell ref="A1:O1"/>
    <mergeCell ref="N12:P12"/>
  </mergeCells>
  <pageMargins left="0.7" right="0.7" top="0.75" bottom="0.75" header="0.3" footer="0.3"/>
  <pageSetup paperSize="9" scale="4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6A8BA-91EA-42AF-929A-6EF5549355FB}">
  <sheetPr codeName="Feuil3">
    <tabColor theme="5"/>
    <pageSetUpPr autoPageBreaks="0" fitToPage="1"/>
  </sheetPr>
  <dimension ref="A1:AF145"/>
  <sheetViews>
    <sheetView topLeftCell="A22" workbookViewId="0">
      <selection activeCell="E42" sqref="E42"/>
    </sheetView>
  </sheetViews>
  <sheetFormatPr baseColWidth="10" defaultColWidth="11.25" defaultRowHeight="15.75" outlineLevelCol="1"/>
  <cols>
    <col min="1" max="1" width="13.125" style="151" customWidth="1"/>
    <col min="2" max="2" width="38" style="151" customWidth="1"/>
    <col min="3" max="3" width="0.125" style="151" customWidth="1"/>
    <col min="4" max="4" width="30.75" style="151" bestFit="1" customWidth="1"/>
    <col min="5" max="5" width="19.375" style="151" customWidth="1"/>
    <col min="6" max="6" width="16.75" style="151" hidden="1" customWidth="1" outlineLevel="1"/>
    <col min="7" max="7" width="6.875" style="151" customWidth="1" collapsed="1"/>
    <col min="8" max="8" width="34" style="151" customWidth="1"/>
    <col min="9" max="9" width="0.125" style="151" customWidth="1"/>
    <col min="10" max="10" width="27.5" style="151" customWidth="1"/>
    <col min="11" max="11" width="18.375" style="151" customWidth="1"/>
    <col min="12" max="12" width="24.625" style="151" customWidth="1" outlineLevel="1"/>
    <col min="13" max="13" width="17.875" style="151" customWidth="1"/>
    <col min="14" max="16384" width="11.25" style="151"/>
  </cols>
  <sheetData>
    <row r="1" spans="1:13" s="611" customFormat="1" ht="36.75" customHeight="1">
      <c r="A1" s="1845" t="s">
        <v>0</v>
      </c>
      <c r="B1" s="1845"/>
      <c r="C1" s="1845"/>
      <c r="D1" s="1845"/>
      <c r="E1" s="1845"/>
      <c r="F1" s="1845"/>
      <c r="G1" s="1845"/>
      <c r="H1" s="1845"/>
      <c r="I1" s="1845"/>
      <c r="J1" s="1845"/>
      <c r="K1" s="1845"/>
      <c r="L1" s="1845"/>
      <c r="M1" s="1845"/>
    </row>
    <row r="2" spans="1:13" s="611" customFormat="1" ht="36.75" customHeight="1">
      <c r="A2" s="1845"/>
      <c r="B2" s="1845"/>
      <c r="C2" s="1845"/>
      <c r="D2" s="1845"/>
      <c r="E2" s="1845"/>
      <c r="F2" s="1845"/>
      <c r="G2" s="1845"/>
      <c r="H2" s="1845"/>
      <c r="I2" s="1845"/>
      <c r="J2" s="1845"/>
      <c r="K2" s="1845"/>
      <c r="L2" s="1845"/>
      <c r="M2" s="1845"/>
    </row>
    <row r="3" spans="1:13" s="611" customFormat="1" ht="9.75" customHeight="1">
      <c r="A3" s="258"/>
      <c r="B3" s="917"/>
      <c r="C3" s="917"/>
      <c r="D3" s="917"/>
      <c r="E3" s="917"/>
      <c r="F3" s="917"/>
      <c r="G3" s="917"/>
      <c r="H3" s="917"/>
      <c r="I3" s="917"/>
      <c r="J3" s="917"/>
      <c r="K3" s="917"/>
      <c r="L3" s="917"/>
      <c r="M3" s="917"/>
    </row>
    <row r="4" spans="1:13" s="611" customFormat="1" ht="36.75" customHeight="1">
      <c r="A4" s="258"/>
      <c r="B4" s="887" t="s">
        <v>72</v>
      </c>
      <c r="C4" s="917"/>
      <c r="D4" s="887" t="s">
        <v>4065</v>
      </c>
      <c r="E4" s="258"/>
      <c r="F4" s="917"/>
      <c r="G4" s="917"/>
      <c r="H4" s="917"/>
      <c r="I4" s="917"/>
      <c r="J4" s="887" t="s">
        <v>73</v>
      </c>
      <c r="K4" s="917"/>
      <c r="L4" s="258"/>
      <c r="M4" s="1079">
        <f ca="1">TODAY()</f>
        <v>45897</v>
      </c>
    </row>
    <row r="5" spans="1:13" s="889" customFormat="1" ht="36.75" customHeight="1" thickBot="1">
      <c r="A5" s="812"/>
      <c r="B5" s="888"/>
      <c r="C5" s="888"/>
      <c r="D5" s="812"/>
      <c r="E5" s="888"/>
      <c r="F5" s="888"/>
      <c r="G5" s="888"/>
      <c r="H5" s="888"/>
      <c r="I5" s="888"/>
      <c r="J5" s="888"/>
      <c r="K5" s="888"/>
      <c r="L5" s="888"/>
      <c r="M5" s="888"/>
    </row>
    <row r="6" spans="1:13" s="892" customFormat="1" ht="43.5" customHeight="1" thickTop="1" thickBot="1">
      <c r="A6" s="908" t="s">
        <v>74</v>
      </c>
      <c r="B6" s="890"/>
      <c r="C6" s="890"/>
      <c r="D6" s="891"/>
      <c r="E6" s="891"/>
      <c r="F6" s="891"/>
      <c r="G6" s="891"/>
      <c r="H6" s="891"/>
      <c r="I6" s="891"/>
      <c r="J6" s="891"/>
      <c r="K6" s="891"/>
      <c r="L6" s="891"/>
      <c r="M6" s="891"/>
    </row>
    <row r="7" spans="1:13">
      <c r="A7" s="258"/>
      <c r="B7" s="1846" t="s">
        <v>75</v>
      </c>
      <c r="C7" s="1847"/>
      <c r="D7" s="1847"/>
      <c r="E7" s="1848"/>
      <c r="F7" s="1854" t="s">
        <v>76</v>
      </c>
      <c r="G7" s="258"/>
      <c r="H7" s="1846" t="s">
        <v>77</v>
      </c>
      <c r="I7" s="1847"/>
      <c r="J7" s="1847"/>
      <c r="K7" s="152"/>
      <c r="L7" s="1852" t="s">
        <v>76</v>
      </c>
      <c r="M7" s="258"/>
    </row>
    <row r="8" spans="1:13" ht="26.25" customHeight="1" thickBot="1">
      <c r="A8" s="258"/>
      <c r="B8" s="1849"/>
      <c r="C8" s="1850"/>
      <c r="D8" s="1850"/>
      <c r="E8" s="1851"/>
      <c r="F8" s="1855"/>
      <c r="G8" s="258"/>
      <c r="H8" s="1849"/>
      <c r="I8" s="1850"/>
      <c r="J8" s="1850"/>
      <c r="K8" s="154"/>
      <c r="L8" s="1853"/>
      <c r="M8" s="258"/>
    </row>
    <row r="9" spans="1:13">
      <c r="A9" s="258"/>
      <c r="B9" s="1397" t="s">
        <v>78</v>
      </c>
      <c r="C9" s="1448"/>
      <c r="D9" s="1449" t="s">
        <v>344</v>
      </c>
      <c r="E9" s="1464" t="s">
        <v>3967</v>
      </c>
      <c r="F9" s="1328"/>
      <c r="G9" s="258"/>
      <c r="H9" s="153" t="s">
        <v>4100</v>
      </c>
      <c r="I9" s="1759"/>
      <c r="J9" s="1775" t="s">
        <v>4407</v>
      </c>
      <c r="K9" s="154"/>
      <c r="M9" s="258"/>
    </row>
    <row r="10" spans="1:13">
      <c r="A10" s="258"/>
      <c r="B10" s="1450" t="s">
        <v>82</v>
      </c>
      <c r="C10" s="909"/>
      <c r="D10" s="933" t="s">
        <v>83</v>
      </c>
      <c r="E10" s="1451"/>
      <c r="F10" s="1329"/>
      <c r="G10" s="258"/>
      <c r="H10" s="153" t="s">
        <v>4335</v>
      </c>
      <c r="I10" s="1759"/>
      <c r="J10" s="1775">
        <v>600</v>
      </c>
      <c r="K10" s="154"/>
      <c r="M10" s="258"/>
    </row>
    <row r="11" spans="1:13">
      <c r="A11" s="258"/>
      <c r="B11" s="170" t="s">
        <v>84</v>
      </c>
      <c r="C11" s="932"/>
      <c r="D11" s="934">
        <v>2026</v>
      </c>
      <c r="E11" s="814"/>
      <c r="F11" s="1330"/>
      <c r="G11" s="258"/>
      <c r="H11" s="153"/>
      <c r="I11" s="1759"/>
      <c r="J11" s="1759"/>
      <c r="K11" s="154"/>
      <c r="M11" s="258"/>
    </row>
    <row r="12" spans="1:13">
      <c r="A12" s="258"/>
      <c r="B12" s="170" t="s">
        <v>86</v>
      </c>
      <c r="C12" s="910"/>
      <c r="D12" s="935">
        <v>160</v>
      </c>
      <c r="E12" s="814" t="s">
        <v>87</v>
      </c>
      <c r="F12" s="1331">
        <f>F13/D13</f>
        <v>0.78125</v>
      </c>
      <c r="G12" s="258"/>
      <c r="H12" s="980"/>
      <c r="I12" s="932"/>
      <c r="J12" s="932"/>
      <c r="K12" s="814"/>
      <c r="M12" s="258"/>
    </row>
    <row r="13" spans="1:13">
      <c r="A13" s="258"/>
      <c r="B13" s="1450" t="s">
        <v>3859</v>
      </c>
      <c r="C13" s="909"/>
      <c r="D13" s="1155">
        <v>2</v>
      </c>
      <c r="E13" s="1451"/>
      <c r="F13" s="1332">
        <f>D12/102.4</f>
        <v>1.5625</v>
      </c>
      <c r="G13" s="258"/>
      <c r="H13" s="1776" t="s">
        <v>80</v>
      </c>
      <c r="I13" s="1165"/>
      <c r="J13" s="1166" t="s">
        <v>81</v>
      </c>
      <c r="K13" s="1451"/>
      <c r="L13" s="985">
        <f>IF(J21=Liste!E3, 0, IF('Outil simplifié'!J21=Liste!E8, SUM(Exploitation!C10:C16)/Exploitation!O12, Exploitation!Q116*'Outil simplifié'!D12))</f>
        <v>0</v>
      </c>
      <c r="M13" s="258"/>
    </row>
    <row r="14" spans="1:13">
      <c r="A14" s="258"/>
      <c r="B14" s="1450" t="s">
        <v>90</v>
      </c>
      <c r="C14" s="909"/>
      <c r="D14" s="1052">
        <v>2.6</v>
      </c>
      <c r="E14" s="1452" t="s">
        <v>91</v>
      </c>
      <c r="F14" s="1333">
        <f>((SQRT(Hypothèses!D12)*4*'Outil simplifié'!D13*Hypothèses!D3)+(Hypothèses!D12*2))/'Outil simplifié'!D12</f>
        <v>2.3416407864998741</v>
      </c>
      <c r="G14" s="258"/>
      <c r="H14" s="153" t="str">
        <f>IF(J13=Liste!C3,"Sondes géothermiques","")</f>
        <v>Sondes géothermiques</v>
      </c>
      <c r="I14" s="1777"/>
      <c r="J14" s="1778">
        <v>300</v>
      </c>
      <c r="K14" s="154" t="str">
        <f>IF(J13=Liste!C3,"m","")</f>
        <v>m</v>
      </c>
      <c r="L14" s="986">
        <f>IF(J13=Liste!C3,0.5*D12," ")</f>
        <v>80</v>
      </c>
      <c r="M14" s="258"/>
    </row>
    <row r="15" spans="1:13">
      <c r="A15" s="258"/>
      <c r="B15" s="170" t="s">
        <v>94</v>
      </c>
      <c r="C15" s="910"/>
      <c r="D15" s="818">
        <v>0.15</v>
      </c>
      <c r="E15" s="814"/>
      <c r="F15" s="1334"/>
      <c r="G15" s="258"/>
      <c r="H15" s="153" t="str">
        <f>IF(J13=Liste!C6,"Combustible"," ")</f>
        <v xml:space="preserve"> </v>
      </c>
      <c r="I15" s="1759"/>
      <c r="J15" s="1778" t="s">
        <v>201</v>
      </c>
      <c r="K15" s="154"/>
      <c r="L15" s="987"/>
      <c r="M15" s="258"/>
    </row>
    <row r="16" spans="1:13">
      <c r="A16" s="266"/>
      <c r="B16" s="1450" t="s">
        <v>96</v>
      </c>
      <c r="C16" s="909"/>
      <c r="D16" s="1167">
        <v>80</v>
      </c>
      <c r="E16" s="1451" t="s">
        <v>87</v>
      </c>
      <c r="F16" s="1335">
        <f>Hypothèses!D12</f>
        <v>80</v>
      </c>
      <c r="G16" s="258"/>
      <c r="H16" s="153" t="str">
        <f>IF(J13=Liste!C5,"Emissions du CAD"," ")</f>
        <v xml:space="preserve"> </v>
      </c>
      <c r="I16" s="1779" t="str">
        <f>TEXT(Exploitation!$C$76,"0.000")</f>
        <v>0.066</v>
      </c>
      <c r="J16" s="1018"/>
      <c r="K16" s="154" t="str">
        <f>IF(J13=Liste!C5,"kgCO2/kWh"," ")</f>
        <v xml:space="preserve"> </v>
      </c>
      <c r="L16" s="986" t="s">
        <v>88</v>
      </c>
      <c r="M16" s="258"/>
    </row>
    <row r="17" spans="1:32">
      <c r="A17" s="258"/>
      <c r="B17" s="157" t="s">
        <v>98</v>
      </c>
      <c r="C17" s="1834"/>
      <c r="D17" s="1835">
        <v>1</v>
      </c>
      <c r="E17" s="154"/>
      <c r="F17" s="275">
        <f>(D16/28)/F13</f>
        <v>1.8285714285714285</v>
      </c>
      <c r="G17" s="258"/>
      <c r="H17" s="1776" t="s">
        <v>89</v>
      </c>
      <c r="I17" s="1277"/>
      <c r="J17" s="978"/>
      <c r="K17" s="1451" t="s">
        <v>87</v>
      </c>
      <c r="L17" s="938">
        <f>'Outil détaillé'!L28*0.8-J20</f>
        <v>71.900834456272094</v>
      </c>
      <c r="M17" s="258"/>
    </row>
    <row r="18" spans="1:32">
      <c r="A18" s="258"/>
      <c r="B18" s="1397" t="s">
        <v>3766</v>
      </c>
      <c r="C18" s="1398"/>
      <c r="D18" s="1399">
        <v>0</v>
      </c>
      <c r="E18" s="1400"/>
      <c r="F18" s="1826">
        <f>Hypothèses!G42</f>
        <v>2</v>
      </c>
      <c r="G18" s="258"/>
      <c r="H18" s="982" t="s">
        <v>92</v>
      </c>
      <c r="I18" s="1780"/>
      <c r="J18" s="1781">
        <f>J17*0.14</f>
        <v>0</v>
      </c>
      <c r="K18" s="816" t="s">
        <v>93</v>
      </c>
      <c r="L18" s="985" cm="1">
        <f t="array" ref="L18">_xlfn.SWITCH($J$21,Exploitation!$B$38,Exploitation!$B$47,Exploitation!$C$38,Exploitation!$C$47,Exploitation!$D$38,Exploitation!$D$47,Exploitation!$E$38,Exploitation!$E$47)*$D$12/1000/0.14</f>
        <v>11.428571428571429</v>
      </c>
      <c r="M18" s="258"/>
    </row>
    <row r="19" spans="1:32">
      <c r="A19" s="258"/>
      <c r="B19" s="157" t="s">
        <v>3958</v>
      </c>
      <c r="C19" s="1836" t="str">
        <f>TEXT(Hypothèses!I42,"0")</f>
        <v>0</v>
      </c>
      <c r="D19" s="1837"/>
      <c r="E19" s="154" t="s">
        <v>87</v>
      </c>
      <c r="F19" s="1824">
        <f>MAX(D18,C18)*Hypothèses!H42</f>
        <v>0</v>
      </c>
      <c r="G19" s="258"/>
      <c r="H19" s="983" t="s">
        <v>95</v>
      </c>
      <c r="I19" s="1780" t="str">
        <f>TEXT(Exploitation!O14,"0 %")</f>
        <v>0 %</v>
      </c>
      <c r="J19" s="1384"/>
      <c r="K19" s="154"/>
      <c r="L19" s="985"/>
      <c r="M19" s="258"/>
    </row>
    <row r="20" spans="1:32">
      <c r="A20" s="258"/>
      <c r="B20" s="157" t="s">
        <v>3963</v>
      </c>
      <c r="C20" s="1836" t="str">
        <f>TEXT(0,"0")</f>
        <v>0</v>
      </c>
      <c r="D20" s="1837"/>
      <c r="E20" s="154" t="s">
        <v>87</v>
      </c>
      <c r="F20" s="1824"/>
      <c r="G20" s="258"/>
      <c r="H20" s="1397" t="s">
        <v>97</v>
      </c>
      <c r="I20" s="1448"/>
      <c r="J20" s="1399">
        <v>2</v>
      </c>
      <c r="K20" s="1400" t="s">
        <v>87</v>
      </c>
      <c r="L20" s="1016">
        <f>(Exploitation!C40*60%*'Outil simplifié'!D12)/Exploitation!O3</f>
        <v>3.4133333333333336</v>
      </c>
      <c r="M20" s="258"/>
    </row>
    <row r="21" spans="1:32" ht="16.5" thickBot="1">
      <c r="A21" s="258"/>
      <c r="B21" s="169" t="s">
        <v>3964</v>
      </c>
      <c r="C21" s="1453" t="str">
        <f>TEXT(0,"0")</f>
        <v>0</v>
      </c>
      <c r="D21" s="1396"/>
      <c r="E21" s="155" t="s">
        <v>87</v>
      </c>
      <c r="F21" s="1825"/>
      <c r="G21" s="258"/>
      <c r="H21" s="169" t="s">
        <v>99</v>
      </c>
      <c r="I21" s="911"/>
      <c r="J21" s="171" t="s">
        <v>197</v>
      </c>
      <c r="K21" s="819"/>
      <c r="L21" s="1017"/>
      <c r="M21" s="258"/>
    </row>
    <row r="22" spans="1:32">
      <c r="A22" s="258"/>
      <c r="B22" s="258"/>
      <c r="C22" s="258"/>
      <c r="D22" s="258"/>
      <c r="E22" s="258"/>
      <c r="F22" s="258"/>
      <c r="G22" s="258"/>
      <c r="H22" s="258"/>
      <c r="I22" s="258"/>
      <c r="J22" s="258"/>
      <c r="K22" s="258"/>
      <c r="L22" s="258"/>
      <c r="M22" s="258"/>
    </row>
    <row r="23" spans="1:32">
      <c r="A23" s="258"/>
      <c r="B23" s="258"/>
      <c r="C23" s="258"/>
      <c r="D23" s="258"/>
      <c r="E23" s="258"/>
      <c r="F23" s="258"/>
      <c r="G23" s="258"/>
      <c r="H23" s="258"/>
      <c r="I23" s="258"/>
      <c r="J23" s="258"/>
      <c r="K23" s="258"/>
      <c r="L23" s="258"/>
      <c r="M23" s="258"/>
    </row>
    <row r="24" spans="1:32" ht="16.5" thickBot="1">
      <c r="A24" s="258"/>
      <c r="B24" s="258"/>
      <c r="C24" s="258"/>
      <c r="D24" s="258"/>
      <c r="E24" s="258"/>
      <c r="F24" s="258"/>
      <c r="G24" s="258"/>
      <c r="H24" s="258"/>
      <c r="I24" s="258"/>
      <c r="J24" s="258"/>
      <c r="K24" s="258"/>
      <c r="L24" s="258"/>
      <c r="M24" s="258"/>
    </row>
    <row r="25" spans="1:32" ht="21">
      <c r="A25" s="258"/>
      <c r="B25" s="1846" t="s">
        <v>101</v>
      </c>
      <c r="C25" s="940"/>
      <c r="D25" s="991"/>
      <c r="E25" s="890"/>
      <c r="F25" s="258"/>
      <c r="G25" s="258"/>
      <c r="H25" s="1478" t="s">
        <v>102</v>
      </c>
      <c r="I25" s="997"/>
      <c r="J25" s="1480"/>
      <c r="K25" s="904"/>
      <c r="L25" s="258"/>
      <c r="M25" s="258"/>
    </row>
    <row r="26" spans="1:32" ht="12.75" customHeight="1">
      <c r="A26" s="258"/>
      <c r="B26" s="1849"/>
      <c r="C26" s="941"/>
      <c r="D26" s="992"/>
      <c r="E26" s="890"/>
      <c r="F26" s="1005"/>
      <c r="G26" s="258"/>
      <c r="H26" s="1479"/>
      <c r="I26" s="932"/>
      <c r="J26" s="1481"/>
      <c r="K26" s="814"/>
      <c r="L26" s="258"/>
      <c r="M26" s="258"/>
    </row>
    <row r="27" spans="1:32" ht="19.5" thickBot="1">
      <c r="A27" s="258"/>
      <c r="B27" s="168" t="s">
        <v>103</v>
      </c>
      <c r="C27" s="1337"/>
      <c r="D27" s="815"/>
      <c r="E27" s="258"/>
      <c r="F27" s="258"/>
      <c r="G27" s="258"/>
      <c r="H27" s="153" t="s">
        <v>3976</v>
      </c>
      <c r="J27" s="151">
        <f>Cibles!B3</f>
        <v>9</v>
      </c>
      <c r="K27" s="816" t="s">
        <v>104</v>
      </c>
      <c r="L27" s="258"/>
      <c r="M27" s="258"/>
    </row>
    <row r="28" spans="1:32" ht="16.5" customHeight="1">
      <c r="A28" s="258"/>
      <c r="B28" s="157" t="s">
        <v>105</v>
      </c>
      <c r="C28" s="1327"/>
      <c r="D28" s="831" t="str" cm="1">
        <f t="array" ref="D28">_xlfn.SWITCH(D10,Liste!B3,Liste!B10,Liste!B4,Liste!B11,Liste!B5,Liste!B11,Liste!B6,Liste!B10)</f>
        <v>Talus</v>
      </c>
      <c r="E28" s="258"/>
      <c r="F28" s="1249"/>
      <c r="G28" s="258"/>
      <c r="H28" s="980" t="s">
        <v>3977</v>
      </c>
      <c r="I28" s="932"/>
      <c r="J28" s="932">
        <f>Cibles!B4</f>
        <v>2</v>
      </c>
      <c r="K28" s="922" t="s">
        <v>104</v>
      </c>
      <c r="L28" s="258"/>
      <c r="M28" s="258"/>
      <c r="AC28" s="1843" t="s">
        <v>112</v>
      </c>
      <c r="AD28" s="920"/>
      <c r="AE28" s="920"/>
      <c r="AF28" s="921"/>
    </row>
    <row r="29" spans="1:32" ht="18" customHeight="1" thickBot="1">
      <c r="A29" s="258"/>
      <c r="B29" s="157" t="s">
        <v>107</v>
      </c>
      <c r="C29" s="1327"/>
      <c r="D29" s="993" t="str" cm="1">
        <f t="array" ref="D29">_xlfn.SWITCH(D10,Liste!B3,Liste!C9,Liste!B4,Liste!C11,Liste!B5,Liste!C11,Liste!B6,Liste!C9)</f>
        <v>Superficielle</v>
      </c>
      <c r="E29" s="258"/>
      <c r="F29" s="1249"/>
      <c r="G29" s="258"/>
      <c r="H29" s="1162" t="s">
        <v>109</v>
      </c>
      <c r="I29" s="981"/>
      <c r="J29" s="981">
        <f>Cibles!B3+Cibles!B4</f>
        <v>11</v>
      </c>
      <c r="K29" s="819" t="s">
        <v>104</v>
      </c>
      <c r="L29" s="258"/>
      <c r="M29" s="258"/>
      <c r="AC29" s="1844"/>
      <c r="AD29" s="1008"/>
      <c r="AE29" s="1008"/>
      <c r="AF29" s="1009"/>
    </row>
    <row r="30" spans="1:32">
      <c r="A30" s="258"/>
      <c r="B30" s="157" t="s">
        <v>103</v>
      </c>
      <c r="C30" s="1327"/>
      <c r="D30" s="831" t="s">
        <v>110</v>
      </c>
      <c r="E30" s="258"/>
      <c r="F30" s="258"/>
      <c r="G30" s="258"/>
      <c r="H30" s="153" t="s">
        <v>3968</v>
      </c>
      <c r="J30" s="151">
        <f>Cibles!C3</f>
        <v>6</v>
      </c>
      <c r="K30" s="816" t="s">
        <v>104</v>
      </c>
      <c r="L30" s="258"/>
      <c r="M30" s="258"/>
      <c r="AC30" s="900" t="s">
        <v>117</v>
      </c>
      <c r="AD30" s="914"/>
      <c r="AE30" s="936">
        <v>500.09781828949548</v>
      </c>
      <c r="AF30" s="816" t="s">
        <v>118</v>
      </c>
    </row>
    <row r="31" spans="1:32" ht="15.95" customHeight="1" thickBot="1">
      <c r="A31" s="258"/>
      <c r="B31" s="916" t="s">
        <v>111</v>
      </c>
      <c r="C31" s="1168"/>
      <c r="D31" s="815"/>
      <c r="E31" s="258"/>
      <c r="F31" s="258"/>
      <c r="G31" s="258"/>
      <c r="H31" s="1162" t="s">
        <v>3969</v>
      </c>
      <c r="I31" s="981"/>
      <c r="J31" s="981">
        <f>Cibles!C4</f>
        <v>1</v>
      </c>
      <c r="K31" s="819" t="s">
        <v>104</v>
      </c>
      <c r="L31" s="258"/>
      <c r="M31" s="258"/>
      <c r="O31" s="919"/>
      <c r="P31" s="919"/>
      <c r="Q31" s="919"/>
      <c r="R31" s="919"/>
      <c r="S31" s="919"/>
      <c r="AC31" s="900" t="s">
        <v>120</v>
      </c>
      <c r="AD31" s="914"/>
      <c r="AE31" s="936">
        <v>17.571004426387681</v>
      </c>
      <c r="AF31" s="816" t="s">
        <v>118</v>
      </c>
    </row>
    <row r="32" spans="1:32" ht="18.399999999999999" customHeight="1">
      <c r="A32" s="258"/>
      <c r="B32" s="157" t="s">
        <v>113</v>
      </c>
      <c r="C32" s="1327" t="s">
        <v>114</v>
      </c>
      <c r="D32" s="831" t="s">
        <v>115</v>
      </c>
      <c r="E32" s="258"/>
      <c r="F32" s="258"/>
      <c r="G32" s="258"/>
      <c r="H32" s="1545" t="s">
        <v>3988</v>
      </c>
      <c r="I32" s="1546"/>
      <c r="J32" s="1546">
        <f>Cibles!E3</f>
        <v>40</v>
      </c>
      <c r="K32" s="152" t="s">
        <v>349</v>
      </c>
      <c r="L32" s="258"/>
      <c r="M32" s="258"/>
      <c r="AC32" s="900" t="s">
        <v>122</v>
      </c>
      <c r="AD32" s="914"/>
      <c r="AE32" s="936">
        <v>122.99703098471375</v>
      </c>
      <c r="AF32" s="816" t="s">
        <v>118</v>
      </c>
    </row>
    <row r="33" spans="1:32" ht="15.75" customHeight="1" thickBot="1">
      <c r="A33" s="258"/>
      <c r="B33" s="157" t="s">
        <v>116</v>
      </c>
      <c r="C33" s="919" t="str" cm="1">
        <f t="array" ref="C33">_xlfn.SWITCH($D$32,Liste!$A16,Liste!B16,Liste!$A17,Liste!B17)</f>
        <v>Paroi en bois</v>
      </c>
      <c r="D33" s="994"/>
      <c r="E33" s="258"/>
      <c r="F33" s="258"/>
      <c r="G33" s="258"/>
      <c r="H33" s="1162" t="s">
        <v>3989</v>
      </c>
      <c r="I33" s="981"/>
      <c r="J33" s="981">
        <f>Cibles!E4</f>
        <v>30</v>
      </c>
      <c r="K33" s="155" t="s">
        <v>349</v>
      </c>
      <c r="L33"/>
      <c r="M33" s="258"/>
      <c r="AC33" s="900" t="s">
        <v>124</v>
      </c>
      <c r="AD33" s="914"/>
      <c r="AE33" s="936">
        <v>35.142008852775362</v>
      </c>
      <c r="AF33" s="816" t="s">
        <v>118</v>
      </c>
    </row>
    <row r="34" spans="1:32" ht="15.75" customHeight="1" thickBot="1">
      <c r="A34" s="258"/>
      <c r="B34" s="157" t="s">
        <v>119</v>
      </c>
      <c r="C34" s="919" t="str" cm="1">
        <f t="array" ref="C34">_xlfn.SWITCH($D$32,Liste!$A16,Liste!C16,Liste!$A17,Liste!C17)</f>
        <v>Revêtement bois ventilé</v>
      </c>
      <c r="D34" s="994"/>
      <c r="E34" s="258"/>
      <c r="F34" s="258"/>
      <c r="G34" s="258"/>
      <c r="H34" s="1474" t="s">
        <v>198</v>
      </c>
      <c r="I34" s="1475"/>
      <c r="J34" s="1476">
        <f>Cibles!D3</f>
        <v>10.065</v>
      </c>
      <c r="K34" s="1477" t="s">
        <v>104</v>
      </c>
      <c r="L34" s="1815"/>
      <c r="M34" s="258"/>
      <c r="AC34" s="900" t="s">
        <v>126</v>
      </c>
      <c r="AD34" s="914"/>
      <c r="AE34" s="1013">
        <v>84.47764187324826</v>
      </c>
      <c r="AF34" s="816" t="s">
        <v>118</v>
      </c>
    </row>
    <row r="35" spans="1:32" ht="14.25" customHeight="1">
      <c r="A35" s="258"/>
      <c r="B35" s="157" t="s">
        <v>121</v>
      </c>
      <c r="C35" s="919" t="str" cm="1">
        <f t="array" ref="C35">_xlfn.SWITCH($D$32,Liste!$A16,Liste!J16,Liste!$A17,Liste!J17)</f>
        <v>Laine de roche</v>
      </c>
      <c r="D35" s="995"/>
      <c r="E35" s="258"/>
      <c r="F35" s="258"/>
      <c r="G35" s="258"/>
      <c r="H35" s="258"/>
      <c r="I35" s="258"/>
      <c r="J35" s="258"/>
      <c r="K35" s="258"/>
      <c r="L35" s="1815"/>
      <c r="M35" s="258"/>
      <c r="AC35" s="1014" t="s">
        <v>128</v>
      </c>
      <c r="AD35" s="1169"/>
      <c r="AE35" s="1170">
        <v>760.28550442662049</v>
      </c>
      <c r="AF35" s="1015" t="s">
        <v>118</v>
      </c>
    </row>
    <row r="36" spans="1:32" ht="15.95" customHeight="1">
      <c r="A36" s="258"/>
      <c r="B36" s="157" t="s">
        <v>123</v>
      </c>
      <c r="C36" s="919" t="str" cm="1">
        <f t="array" ref="C36">_xlfn.SWITCH($D$32,Liste!$A16,Liste!H16,Liste!$A17,Liste!H17)</f>
        <v>Plafond en bois massif</v>
      </c>
      <c r="D36" s="994"/>
      <c r="E36" s="258"/>
      <c r="F36" s="258"/>
      <c r="G36" s="258"/>
      <c r="H36" s="258"/>
      <c r="I36" s="258"/>
      <c r="J36" s="258"/>
      <c r="K36" s="258"/>
      <c r="L36" s="1842"/>
      <c r="M36" s="258"/>
      <c r="AC36" s="1010" t="s">
        <v>130</v>
      </c>
      <c r="AD36" s="1011"/>
      <c r="AE36" s="1012">
        <v>12.671425073777009</v>
      </c>
      <c r="AF36" s="922" t="s">
        <v>104</v>
      </c>
    </row>
    <row r="37" spans="1:32" ht="16.5" thickBot="1">
      <c r="A37" s="258"/>
      <c r="B37" s="157" t="s">
        <v>125</v>
      </c>
      <c r="C37" s="919" t="str" cm="1">
        <f t="array" ref="C37">_xlfn.SWITCH($D$32,Liste!$A16,Liste!G16,Liste!$A17,Liste!G17)</f>
        <v>Toiture inclinée</v>
      </c>
      <c r="D37" s="994"/>
      <c r="E37" s="258"/>
      <c r="F37" s="258"/>
      <c r="G37" s="258"/>
      <c r="H37" s="258"/>
      <c r="I37" s="258"/>
      <c r="J37" s="258"/>
      <c r="K37" s="258"/>
      <c r="L37" s="1842"/>
      <c r="M37" s="258"/>
      <c r="AC37" s="901" t="s">
        <v>132</v>
      </c>
      <c r="AD37" s="915"/>
      <c r="AE37" s="937">
        <f>AE35*D12</f>
        <v>121645.68070825929</v>
      </c>
      <c r="AF37" s="819" t="s">
        <v>133</v>
      </c>
    </row>
    <row r="38" spans="1:32" ht="16.5" thickBot="1">
      <c r="A38" s="258"/>
      <c r="B38" s="170" t="s">
        <v>127</v>
      </c>
      <c r="C38" s="919" t="str" cm="1">
        <f t="array" ref="C38">_xlfn.SWITCH($D$32,Liste!$A16,Liste!K16,Liste!$A17,Liste!K17)</f>
        <v>Laine de roche</v>
      </c>
      <c r="D38" s="996"/>
      <c r="E38" s="258"/>
      <c r="F38" s="258"/>
      <c r="G38" s="258"/>
      <c r="H38" s="258"/>
      <c r="I38" s="258"/>
      <c r="J38" s="258"/>
      <c r="K38" s="258"/>
      <c r="L38" s="1842"/>
      <c r="M38" s="258"/>
      <c r="AC38" s="258"/>
      <c r="AD38" s="258"/>
      <c r="AE38" s="258"/>
      <c r="AF38" s="258"/>
    </row>
    <row r="39" spans="1:32" ht="18.75">
      <c r="A39" s="258"/>
      <c r="B39" s="916" t="s">
        <v>129</v>
      </c>
      <c r="C39" s="1165"/>
      <c r="D39" s="815"/>
      <c r="E39" s="258"/>
      <c r="F39" s="258"/>
      <c r="G39" s="258"/>
      <c r="H39" s="258"/>
      <c r="I39" s="258"/>
      <c r="J39" s="258"/>
      <c r="K39" s="258"/>
      <c r="L39" s="1842"/>
      <c r="M39" s="258"/>
      <c r="AC39" s="899" t="s">
        <v>135</v>
      </c>
      <c r="AD39" s="913"/>
      <c r="AE39" s="903"/>
      <c r="AF39" s="904"/>
    </row>
    <row r="40" spans="1:32">
      <c r="A40" s="258"/>
      <c r="B40" s="157" t="s">
        <v>131</v>
      </c>
      <c r="C40" s="919" t="str" cm="1">
        <f t="array" ref="C40">_xlfn.SWITCH($D$32,Liste!$A16,Liste!D16,Liste!$A17,Liste!D17)</f>
        <v>Paroi CLT</v>
      </c>
      <c r="D40" s="994"/>
      <c r="E40" s="258"/>
      <c r="F40" s="258"/>
      <c r="G40" s="258"/>
      <c r="H40" s="258"/>
      <c r="I40" s="258"/>
      <c r="J40" s="258"/>
      <c r="K40" s="258"/>
      <c r="L40" s="1842"/>
      <c r="M40" s="258"/>
      <c r="AC40" s="1014" t="s">
        <v>136</v>
      </c>
      <c r="AD40" s="1169"/>
      <c r="AE40" s="1170">
        <v>2.9662592771834229</v>
      </c>
      <c r="AF40" s="1015" t="s">
        <v>104</v>
      </c>
    </row>
    <row r="41" spans="1:32">
      <c r="A41" s="258"/>
      <c r="B41" s="170" t="s">
        <v>134</v>
      </c>
      <c r="C41" s="1338" t="str" cm="1">
        <f t="array" ref="C41">_xlfn.SWITCH($D$32,Liste!$A16,Liste!F16,Liste!$A17,Liste!F17)</f>
        <v>Système mixte bois-béton</v>
      </c>
      <c r="D41" s="996"/>
      <c r="E41" s="258"/>
      <c r="F41" s="258"/>
      <c r="G41" s="258"/>
      <c r="H41" s="258"/>
      <c r="I41" s="258"/>
      <c r="J41" s="258"/>
      <c r="K41" s="258"/>
      <c r="L41" s="1816"/>
      <c r="M41" s="258"/>
      <c r="AC41" s="900" t="s">
        <v>137</v>
      </c>
      <c r="AD41" s="611"/>
      <c r="AE41" s="936">
        <v>0.5502247414815159</v>
      </c>
      <c r="AF41" s="816" t="s">
        <v>104</v>
      </c>
    </row>
    <row r="42" spans="1:32" ht="19.5" thickBot="1">
      <c r="A42" s="258"/>
      <c r="B42" s="168" t="s">
        <v>3767</v>
      </c>
      <c r="D42" s="154"/>
      <c r="E42" s="258"/>
      <c r="F42" s="258"/>
      <c r="G42" s="258"/>
      <c r="H42" s="258"/>
      <c r="I42" s="258"/>
      <c r="J42" s="258"/>
      <c r="K42" s="258"/>
      <c r="L42" s="1816"/>
      <c r="M42" s="258"/>
      <c r="AC42" s="901" t="s">
        <v>138</v>
      </c>
      <c r="AD42" s="902"/>
      <c r="AE42" s="937">
        <v>1.1721613395549795</v>
      </c>
      <c r="AF42" s="819" t="s">
        <v>104</v>
      </c>
    </row>
    <row r="43" spans="1:32">
      <c r="A43" s="258"/>
      <c r="B43" s="157" t="s">
        <v>3960</v>
      </c>
      <c r="C43" s="919" t="str">
        <f>Liste!L16</f>
        <v>Revêt. bit. simple</v>
      </c>
      <c r="D43" s="994"/>
      <c r="E43" s="258"/>
      <c r="F43" s="1249"/>
      <c r="G43" s="258"/>
      <c r="H43" s="258"/>
      <c r="I43" s="258"/>
      <c r="J43" s="258"/>
      <c r="K43" s="258"/>
      <c r="L43" s="1816"/>
      <c r="M43" s="258"/>
    </row>
    <row r="44" spans="1:32">
      <c r="A44" s="258"/>
      <c r="B44" s="157" t="s">
        <v>3961</v>
      </c>
      <c r="C44" s="919" t="str">
        <f>Liste!L17</f>
        <v>Gravier</v>
      </c>
      <c r="D44" s="994"/>
      <c r="E44" s="258"/>
      <c r="F44" s="258"/>
      <c r="G44" s="258"/>
      <c r="H44" s="258"/>
      <c r="I44" s="258"/>
      <c r="J44" s="258"/>
      <c r="K44" s="258"/>
      <c r="L44" s="1816"/>
      <c r="M44" s="258"/>
    </row>
    <row r="45" spans="1:32" ht="16.5" thickBot="1">
      <c r="A45" s="258"/>
      <c r="B45" s="157" t="s">
        <v>3962</v>
      </c>
      <c r="C45" s="919" t="str">
        <f>Liste!L18</f>
        <v>Béton</v>
      </c>
      <c r="D45" s="1417"/>
      <c r="E45" s="258"/>
      <c r="F45" s="258"/>
      <c r="G45" s="918"/>
      <c r="H45" s="258"/>
      <c r="I45" s="258"/>
      <c r="J45" s="258"/>
      <c r="K45" s="258"/>
      <c r="L45" s="1816"/>
      <c r="M45" s="258"/>
    </row>
    <row r="46" spans="1:32">
      <c r="A46" s="258"/>
      <c r="B46" s="998"/>
      <c r="C46" s="998"/>
      <c r="D46" s="258"/>
      <c r="E46" s="258"/>
      <c r="F46" s="258"/>
      <c r="G46" s="258"/>
      <c r="H46" s="258"/>
      <c r="I46" s="258"/>
      <c r="J46" s="258"/>
      <c r="K46" s="258"/>
      <c r="L46" s="1816"/>
      <c r="M46" s="258"/>
    </row>
    <row r="47" spans="1:32">
      <c r="A47" s="258"/>
      <c r="B47" s="258"/>
      <c r="C47" s="258"/>
      <c r="D47" s="258"/>
      <c r="E47" s="258"/>
      <c r="F47" s="258"/>
      <c r="G47" s="258"/>
      <c r="H47" s="258"/>
      <c r="I47" s="258"/>
      <c r="J47" s="258"/>
      <c r="K47" s="258"/>
      <c r="L47" s="1816"/>
      <c r="M47" s="258"/>
    </row>
    <row r="48" spans="1:32">
      <c r="A48" s="258"/>
      <c r="B48" s="258"/>
      <c r="C48" s="258"/>
      <c r="D48" s="258"/>
      <c r="E48" s="258"/>
      <c r="F48" s="258"/>
      <c r="G48" s="258"/>
      <c r="H48" s="258"/>
      <c r="I48" s="258"/>
      <c r="J48" s="258"/>
      <c r="K48" s="258"/>
      <c r="L48" s="1816"/>
      <c r="M48" s="258"/>
    </row>
    <row r="49" spans="1:13">
      <c r="A49" s="258"/>
      <c r="B49" s="258"/>
      <c r="C49" s="258"/>
      <c r="D49" s="258"/>
      <c r="E49" s="258"/>
      <c r="F49" s="258"/>
      <c r="G49" s="258"/>
      <c r="H49" s="258"/>
      <c r="I49" s="258"/>
      <c r="J49" s="258"/>
      <c r="K49" s="258"/>
      <c r="L49" s="675"/>
      <c r="M49" s="258"/>
    </row>
    <row r="50" spans="1:13">
      <c r="A50" s="258"/>
      <c r="B50" s="258"/>
      <c r="C50" s="258"/>
      <c r="D50" s="258"/>
      <c r="E50" s="258"/>
      <c r="F50" s="258"/>
      <c r="G50" s="258"/>
      <c r="H50" s="258"/>
      <c r="I50" s="258"/>
      <c r="J50" s="258"/>
      <c r="K50" s="258"/>
      <c r="L50" s="918"/>
      <c r="M50" s="258"/>
    </row>
    <row r="51" spans="1:13" s="810" customFormat="1" ht="16.5" thickBot="1">
      <c r="A51" s="812"/>
      <c r="B51" s="812"/>
      <c r="C51" s="812"/>
      <c r="D51" s="812"/>
      <c r="E51" s="812"/>
      <c r="F51" s="812"/>
      <c r="G51" s="812"/>
      <c r="H51" s="812"/>
      <c r="I51" s="812"/>
      <c r="J51" s="812"/>
      <c r="K51" s="812"/>
      <c r="L51" s="812"/>
      <c r="M51" s="812"/>
    </row>
    <row r="52" spans="1:13" ht="39" customHeight="1" thickTop="1" thickBot="1">
      <c r="A52" s="908" t="s">
        <v>139</v>
      </c>
      <c r="B52" s="813"/>
      <c r="C52" s="813"/>
      <c r="D52" s="258"/>
      <c r="E52" s="258"/>
      <c r="F52" s="258"/>
      <c r="G52" s="258"/>
      <c r="H52" s="258"/>
      <c r="I52" s="258"/>
      <c r="J52" s="258"/>
      <c r="K52" s="258"/>
      <c r="L52" s="258"/>
      <c r="M52" s="258"/>
    </row>
    <row r="53" spans="1:13" s="611" customFormat="1" ht="21">
      <c r="A53" s="258"/>
      <c r="B53" s="999" t="s">
        <v>140</v>
      </c>
      <c r="C53" s="1000"/>
      <c r="D53" s="1001"/>
      <c r="E53" s="1382"/>
      <c r="F53" s="1775"/>
      <c r="G53" s="258"/>
      <c r="H53" s="258"/>
      <c r="I53" s="258"/>
      <c r="J53" s="258"/>
      <c r="K53" s="258"/>
      <c r="L53" s="258"/>
      <c r="M53" s="258"/>
    </row>
    <row r="54" spans="1:13">
      <c r="A54" s="258"/>
      <c r="B54" s="886" t="s">
        <v>141</v>
      </c>
      <c r="C54" s="1775"/>
      <c r="D54" s="1831">
        <f ca="1">Décomposition!T292/Hypothèses!D54</f>
        <v>12.979463498362644</v>
      </c>
      <c r="E54" s="831" t="s">
        <v>104</v>
      </c>
      <c r="F54" s="1775"/>
      <c r="G54" s="258"/>
      <c r="H54" s="258"/>
      <c r="I54" s="258"/>
      <c r="J54" s="258"/>
      <c r="K54" s="258"/>
      <c r="L54" s="258"/>
      <c r="M54" s="258"/>
    </row>
    <row r="55" spans="1:13">
      <c r="A55" s="258"/>
      <c r="B55" s="1004" t="s">
        <v>142</v>
      </c>
      <c r="C55" s="1002"/>
      <c r="D55" s="1293">
        <f>Exploitation!$I$20</f>
        <v>5.5437564740781333</v>
      </c>
      <c r="E55" s="832" t="s">
        <v>104</v>
      </c>
      <c r="F55" s="1775"/>
      <c r="G55" s="258"/>
      <c r="H55" s="258"/>
      <c r="I55" s="258"/>
      <c r="J55" s="258"/>
      <c r="K55" s="258"/>
      <c r="L55" s="258"/>
      <c r="M55" s="258"/>
    </row>
    <row r="56" spans="1:13" ht="16.5" thickBot="1">
      <c r="A56" s="258"/>
      <c r="B56" s="898" t="s">
        <v>143</v>
      </c>
      <c r="C56" s="905"/>
      <c r="D56" s="931">
        <f ca="1">D54+D55</f>
        <v>18.523219972440778</v>
      </c>
      <c r="E56" s="809" t="s">
        <v>104</v>
      </c>
      <c r="F56" s="1775"/>
      <c r="G56" s="258"/>
      <c r="H56" s="258"/>
      <c r="I56" s="258"/>
      <c r="J56" s="258"/>
      <c r="K56" s="258"/>
      <c r="L56" s="258"/>
      <c r="M56" s="258"/>
    </row>
    <row r="57" spans="1:13" ht="16.5" thickBot="1">
      <c r="A57" s="258"/>
      <c r="B57" s="898"/>
      <c r="C57" s="905"/>
      <c r="D57" s="931"/>
      <c r="E57" s="809"/>
      <c r="F57" s="1775"/>
      <c r="G57" s="258"/>
      <c r="H57" s="258"/>
      <c r="I57" s="258"/>
      <c r="J57" s="258"/>
      <c r="K57" s="258"/>
      <c r="L57" s="258"/>
      <c r="M57" s="258"/>
    </row>
    <row r="58" spans="1:13" ht="15.6" customHeight="1">
      <c r="A58" s="258"/>
      <c r="B58" s="1594" t="s">
        <v>3959</v>
      </c>
      <c r="C58" s="1003"/>
      <c r="D58" s="1001">
        <f ca="1">Décomposition!T271/Hypothèses!D54</f>
        <v>0</v>
      </c>
      <c r="E58" s="1382" t="s">
        <v>104</v>
      </c>
      <c r="F58" s="1775"/>
      <c r="G58" s="258"/>
      <c r="H58" s="258"/>
      <c r="I58" s="258"/>
      <c r="J58" s="258"/>
      <c r="K58" s="258"/>
      <c r="L58" s="258"/>
      <c r="M58" s="258"/>
    </row>
    <row r="59" spans="1:13" ht="15.6" customHeight="1" thickBot="1">
      <c r="A59"/>
      <c r="B59" s="898" t="s">
        <v>4051</v>
      </c>
      <c r="C59" s="905"/>
      <c r="D59" s="931">
        <f ca="1">D56+D58</f>
        <v>18.523219972440778</v>
      </c>
      <c r="E59" s="809" t="s">
        <v>104</v>
      </c>
      <c r="F59" s="1775"/>
      <c r="G59" s="258"/>
      <c r="H59" s="258"/>
      <c r="I59" s="258"/>
      <c r="J59" s="258"/>
      <c r="K59" s="258"/>
      <c r="L59" s="258"/>
      <c r="M59" s="258"/>
    </row>
    <row r="60" spans="1:13" ht="16.5" thickBot="1">
      <c r="A60" s="258"/>
      <c r="B60" s="258"/>
      <c r="C60" s="258"/>
      <c r="D60" s="258"/>
      <c r="E60" s="258"/>
      <c r="F60" s="1775"/>
      <c r="G60" s="258"/>
      <c r="H60" s="258"/>
      <c r="I60" s="258"/>
      <c r="J60" s="258"/>
      <c r="K60" s="258"/>
      <c r="L60" s="258"/>
      <c r="M60" s="258"/>
    </row>
    <row r="61" spans="1:13" ht="21">
      <c r="A61" s="258"/>
      <c r="B61" s="1006" t="s">
        <v>144</v>
      </c>
      <c r="C61" s="1007"/>
      <c r="D61" s="1007"/>
      <c r="E61" s="1383"/>
      <c r="F61" s="1775"/>
      <c r="G61" s="258"/>
      <c r="H61" s="258"/>
      <c r="I61" s="258"/>
      <c r="J61" s="258"/>
      <c r="K61" s="258"/>
      <c r="L61" s="258"/>
      <c r="M61" s="258"/>
    </row>
    <row r="62" spans="1:13">
      <c r="A62" s="258"/>
      <c r="B62" s="1547" t="s">
        <v>145</v>
      </c>
      <c r="C62" s="1171"/>
      <c r="D62" s="1172">
        <f ca="1">Décomposition!O292</f>
        <v>470.85368537554513</v>
      </c>
      <c r="E62" s="1548" t="s">
        <v>118</v>
      </c>
      <c r="F62" s="1775"/>
      <c r="G62" s="258"/>
      <c r="H62" s="258"/>
      <c r="I62" s="258"/>
      <c r="J62" s="258"/>
      <c r="K62" s="258"/>
      <c r="L62" s="258"/>
      <c r="M62" s="258"/>
    </row>
    <row r="63" spans="1:13">
      <c r="A63" s="258"/>
      <c r="B63" s="825" t="s">
        <v>146</v>
      </c>
      <c r="C63" s="1827"/>
      <c r="D63" s="829">
        <f ca="1">Décomposition!P292</f>
        <v>0.11925982473438507</v>
      </c>
      <c r="E63" s="831" t="s">
        <v>118</v>
      </c>
      <c r="F63" s="1775"/>
      <c r="G63" s="258"/>
      <c r="H63" s="258"/>
      <c r="I63" s="258"/>
      <c r="J63" s="258"/>
      <c r="K63" s="258"/>
      <c r="L63" s="258"/>
      <c r="M63" s="258"/>
    </row>
    <row r="64" spans="1:13">
      <c r="A64" s="258"/>
      <c r="B64" s="825" t="s">
        <v>147</v>
      </c>
      <c r="C64" s="1827"/>
      <c r="D64" s="829">
        <f ca="1">Décomposition!Q292</f>
        <v>183.15490568860002</v>
      </c>
      <c r="E64" s="831" t="s">
        <v>118</v>
      </c>
      <c r="F64" s="1775"/>
      <c r="G64" s="258"/>
      <c r="H64" s="258"/>
      <c r="I64" s="258"/>
      <c r="J64" s="258"/>
      <c r="K64" s="258"/>
      <c r="L64" s="258"/>
      <c r="M64" s="258"/>
    </row>
    <row r="65" spans="1:13">
      <c r="A65" s="258"/>
      <c r="B65" s="825" t="s">
        <v>148</v>
      </c>
      <c r="C65" s="1827"/>
      <c r="D65" s="829">
        <f ca="1">Décomposition!R292</f>
        <v>64.160399969114664</v>
      </c>
      <c r="E65" s="831" t="s">
        <v>118</v>
      </c>
      <c r="F65" s="1775"/>
      <c r="G65" s="258"/>
      <c r="H65" s="258"/>
      <c r="I65" s="258"/>
      <c r="J65" s="258"/>
      <c r="K65" s="258"/>
      <c r="L65" s="258"/>
      <c r="M65" s="258"/>
    </row>
    <row r="66" spans="1:13">
      <c r="A66" s="258"/>
      <c r="B66" s="825" t="s">
        <v>149</v>
      </c>
      <c r="C66" s="1827"/>
      <c r="D66" s="829">
        <f ca="1">Décomposition!S292</f>
        <v>60.47955904376461</v>
      </c>
      <c r="E66" s="831" t="s">
        <v>118</v>
      </c>
      <c r="F66" s="1775"/>
      <c r="G66" s="258"/>
      <c r="H66" s="258"/>
      <c r="I66" s="258"/>
      <c r="J66" s="258"/>
      <c r="K66" s="258"/>
      <c r="L66" s="258"/>
      <c r="M66" s="258"/>
    </row>
    <row r="67" spans="1:13">
      <c r="A67" s="258"/>
      <c r="B67" s="1547" t="s">
        <v>128</v>
      </c>
      <c r="C67" s="1171"/>
      <c r="D67" s="1172">
        <f ca="1">Décomposition!T292</f>
        <v>778.76780990175871</v>
      </c>
      <c r="E67" s="1548" t="s">
        <v>118</v>
      </c>
      <c r="F67" s="1775"/>
      <c r="G67" s="258"/>
      <c r="H67" s="258"/>
      <c r="I67" s="258"/>
      <c r="J67" s="258"/>
      <c r="K67" s="258"/>
      <c r="L67" s="258"/>
      <c r="M67" s="258"/>
    </row>
    <row r="68" spans="1:13">
      <c r="A68" s="258"/>
      <c r="B68" s="827" t="s">
        <v>130</v>
      </c>
      <c r="C68" s="912"/>
      <c r="D68" s="830">
        <f ca="1">D67/60</f>
        <v>12.979463498362644</v>
      </c>
      <c r="E68" s="832" t="s">
        <v>104</v>
      </c>
      <c r="F68" s="1775"/>
      <c r="G68" s="258"/>
      <c r="H68" s="258"/>
      <c r="I68" s="258"/>
      <c r="J68" s="258"/>
      <c r="K68" s="258"/>
      <c r="L68" s="258"/>
      <c r="M68" s="258"/>
    </row>
    <row r="69" spans="1:13" ht="16.5" thickBot="1">
      <c r="A69" s="258"/>
      <c r="B69" s="826" t="s">
        <v>150</v>
      </c>
      <c r="C69" s="906"/>
      <c r="D69" s="828">
        <f ca="1">D67*D12</f>
        <v>124602.84958428139</v>
      </c>
      <c r="E69" s="809" t="s">
        <v>133</v>
      </c>
      <c r="F69" s="1775"/>
      <c r="G69" s="258"/>
      <c r="H69" s="258"/>
      <c r="I69" s="258"/>
      <c r="J69" s="258"/>
      <c r="K69" s="258"/>
      <c r="L69" s="258"/>
      <c r="M69" s="258"/>
    </row>
    <row r="70" spans="1:13" ht="16.5" thickBot="1">
      <c r="A70" s="258"/>
      <c r="B70" s="1030" t="s">
        <v>3953</v>
      </c>
      <c r="C70" s="1828"/>
      <c r="D70" s="1829">
        <f>D55</f>
        <v>5.5437564740781333</v>
      </c>
      <c r="E70" s="1830" t="s">
        <v>104</v>
      </c>
      <c r="F70" s="1775"/>
      <c r="G70" s="258"/>
      <c r="H70" s="258"/>
      <c r="I70" s="258"/>
      <c r="J70" s="258"/>
      <c r="K70" s="258"/>
      <c r="L70" s="258"/>
      <c r="M70" s="258"/>
    </row>
    <row r="71" spans="1:13" ht="16.5" thickBot="1">
      <c r="A71" s="258"/>
      <c r="B71" s="898"/>
      <c r="C71" s="905"/>
      <c r="D71" s="905"/>
      <c r="E71" s="809"/>
      <c r="F71" s="1775"/>
      <c r="G71" s="258"/>
      <c r="H71" s="258"/>
      <c r="I71" s="258"/>
      <c r="J71" s="258"/>
      <c r="K71" s="258"/>
      <c r="L71" s="258"/>
      <c r="M71" s="258"/>
    </row>
    <row r="72" spans="1:13" ht="21">
      <c r="A72" s="258"/>
      <c r="B72" s="1006" t="s">
        <v>3952</v>
      </c>
      <c r="C72" s="1007"/>
      <c r="D72" s="1007"/>
      <c r="E72" s="1007"/>
      <c r="F72" s="1775"/>
      <c r="G72" s="258"/>
      <c r="H72" s="258"/>
      <c r="I72" s="258"/>
      <c r="J72" s="258"/>
      <c r="K72" s="258"/>
      <c r="L72" s="258"/>
      <c r="M72" s="258"/>
    </row>
    <row r="73" spans="1:13">
      <c r="A73" s="258"/>
      <c r="B73" s="1547" t="s">
        <v>3990</v>
      </c>
      <c r="C73" s="1171"/>
      <c r="D73" s="1172">
        <f ca="1">Décomposition!AA292/Hypothèses!D54</f>
        <v>39.511224166621965</v>
      </c>
      <c r="E73" s="1548" t="s">
        <v>349</v>
      </c>
      <c r="F73" s="258"/>
      <c r="G73" s="258"/>
      <c r="H73" s="258"/>
      <c r="I73" s="258"/>
      <c r="J73" s="258"/>
      <c r="K73" s="258"/>
      <c r="L73" s="258"/>
      <c r="M73" s="258"/>
    </row>
    <row r="74" spans="1:13">
      <c r="A74" s="258"/>
      <c r="B74" s="827" t="s">
        <v>3991</v>
      </c>
      <c r="C74" s="912"/>
      <c r="D74" s="830">
        <f>Exploitation!L20</f>
        <v>81.007787728660134</v>
      </c>
      <c r="E74" s="832" t="s">
        <v>349</v>
      </c>
      <c r="F74" s="258"/>
      <c r="G74" s="258"/>
      <c r="H74" s="258"/>
      <c r="I74" s="258"/>
      <c r="J74" s="258"/>
      <c r="K74" s="258"/>
      <c r="L74" s="258"/>
      <c r="M74" s="258"/>
    </row>
    <row r="75" spans="1:13" ht="16.5" thickBot="1">
      <c r="A75" s="258"/>
      <c r="B75" s="826" t="s">
        <v>4064</v>
      </c>
      <c r="C75" s="905"/>
      <c r="D75" s="1043">
        <f ca="1">-SUM(Graphes_Background!G2:G30)</f>
        <v>6.8240860494278373</v>
      </c>
      <c r="E75" s="809" t="s">
        <v>104</v>
      </c>
      <c r="F75" s="258"/>
      <c r="G75" s="258"/>
      <c r="H75" s="258"/>
      <c r="I75" s="258"/>
      <c r="J75" s="258"/>
      <c r="K75" s="258"/>
      <c r="L75" s="258"/>
      <c r="M75" s="258"/>
    </row>
    <row r="76" spans="1:13">
      <c r="A76" s="258"/>
      <c r="B76" s="258"/>
      <c r="C76" s="258"/>
      <c r="D76" s="280"/>
      <c r="E76" s="258"/>
      <c r="F76" s="258"/>
      <c r="G76" s="258"/>
      <c r="H76" s="258"/>
      <c r="I76" s="258"/>
      <c r="J76" s="258"/>
      <c r="K76" s="258"/>
      <c r="L76" s="258"/>
      <c r="M76" s="258"/>
    </row>
    <row r="77" spans="1:13">
      <c r="A77" s="258"/>
      <c r="B77" s="258"/>
      <c r="C77" s="258"/>
      <c r="D77" s="280"/>
      <c r="E77" s="258"/>
      <c r="F77" s="258"/>
      <c r="G77" s="258"/>
      <c r="H77" s="258"/>
      <c r="I77" s="258"/>
      <c r="J77" s="258"/>
      <c r="K77" s="258"/>
      <c r="L77" s="258"/>
      <c r="M77" s="258"/>
    </row>
    <row r="78" spans="1:13">
      <c r="A78" s="258"/>
      <c r="B78" s="258"/>
      <c r="C78" s="258"/>
      <c r="D78" s="280"/>
      <c r="E78" s="258"/>
      <c r="F78" s="258"/>
      <c r="G78" s="258"/>
      <c r="H78" s="258"/>
      <c r="I78" s="258"/>
      <c r="J78" s="258"/>
      <c r="K78" s="258"/>
      <c r="L78" s="258"/>
      <c r="M78" s="258"/>
    </row>
    <row r="79" spans="1:13">
      <c r="A79" s="258"/>
      <c r="B79" s="258"/>
      <c r="C79" s="258"/>
      <c r="D79" s="280"/>
      <c r="E79" s="258"/>
      <c r="F79" s="258"/>
      <c r="G79" s="258"/>
      <c r="H79" s="258"/>
      <c r="I79" s="258"/>
      <c r="J79" s="258"/>
      <c r="K79" s="258"/>
      <c r="L79" s="258"/>
      <c r="M79" s="258"/>
    </row>
    <row r="80" spans="1:13">
      <c r="A80" s="258"/>
      <c r="B80" s="258"/>
      <c r="C80" s="258"/>
      <c r="D80" s="280"/>
      <c r="E80" s="258"/>
      <c r="F80" s="258"/>
      <c r="G80" s="258"/>
      <c r="H80" s="258"/>
      <c r="I80" s="258"/>
      <c r="J80" s="258"/>
      <c r="K80" s="258"/>
      <c r="L80" s="258"/>
      <c r="M80" s="258"/>
    </row>
    <row r="81" spans="1:14">
      <c r="A81" s="258"/>
      <c r="B81" s="258"/>
      <c r="C81" s="258"/>
      <c r="D81" s="258"/>
      <c r="E81" s="258"/>
      <c r="F81" s="258"/>
      <c r="G81" s="258"/>
      <c r="H81" s="258"/>
      <c r="I81" s="258"/>
      <c r="J81" s="258"/>
      <c r="K81" s="258"/>
      <c r="L81" s="835"/>
      <c r="M81" s="258"/>
    </row>
    <row r="82" spans="1:14">
      <c r="A82" s="258"/>
      <c r="B82" s="258"/>
      <c r="C82" s="258"/>
      <c r="D82" s="258"/>
      <c r="E82" s="258"/>
      <c r="F82" s="258"/>
      <c r="G82" s="258"/>
      <c r="H82" s="258"/>
      <c r="I82" s="258"/>
      <c r="J82" s="258"/>
      <c r="K82" s="258"/>
      <c r="L82" s="258"/>
      <c r="M82" s="258"/>
    </row>
    <row r="83" spans="1:14">
      <c r="A83" s="258"/>
      <c r="B83" s="258"/>
      <c r="C83" s="258"/>
      <c r="D83" s="258"/>
      <c r="E83" s="258"/>
      <c r="F83" s="258"/>
      <c r="G83" s="258"/>
      <c r="H83" s="258"/>
      <c r="I83" s="258"/>
      <c r="J83" s="258"/>
      <c r="K83" s="258"/>
      <c r="L83" s="258"/>
      <c r="M83" s="258"/>
    </row>
    <row r="84" spans="1:14">
      <c r="A84" s="258"/>
      <c r="B84" s="258"/>
      <c r="C84" s="258"/>
      <c r="D84" s="258"/>
      <c r="E84" s="258"/>
      <c r="F84" s="258"/>
      <c r="G84" s="258"/>
      <c r="H84" s="258"/>
      <c r="I84" s="258"/>
      <c r="J84" s="258"/>
      <c r="K84" s="258"/>
      <c r="L84" s="258"/>
      <c r="M84" s="258"/>
    </row>
    <row r="85" spans="1:14">
      <c r="A85" s="258"/>
      <c r="B85" s="258"/>
      <c r="C85" s="258"/>
      <c r="D85" s="258"/>
      <c r="E85" s="258"/>
      <c r="F85" s="258"/>
      <c r="G85" s="258"/>
      <c r="H85" s="258"/>
      <c r="I85" s="258"/>
      <c r="J85" s="258"/>
      <c r="K85" s="258"/>
      <c r="L85" s="258"/>
      <c r="M85" s="258"/>
    </row>
    <row r="86" spans="1:14">
      <c r="A86" s="258"/>
      <c r="B86" s="258"/>
      <c r="C86" s="258"/>
      <c r="D86" s="258"/>
      <c r="E86" s="258"/>
      <c r="F86" s="258"/>
      <c r="G86" s="258"/>
      <c r="H86" s="258"/>
      <c r="I86" s="258"/>
      <c r="J86" s="258"/>
      <c r="K86" s="258"/>
      <c r="L86" s="258"/>
      <c r="M86" s="258"/>
    </row>
    <row r="87" spans="1:14">
      <c r="A87" s="258"/>
      <c r="B87" s="258"/>
      <c r="C87" s="258"/>
      <c r="D87" s="258"/>
      <c r="E87" s="258"/>
      <c r="F87" s="258"/>
      <c r="G87" s="258"/>
      <c r="H87" s="258"/>
      <c r="I87" s="258"/>
      <c r="J87" s="258"/>
      <c r="K87" s="258"/>
      <c r="L87" s="258"/>
      <c r="M87" s="258"/>
    </row>
    <row r="88" spans="1:14">
      <c r="A88" s="258"/>
      <c r="B88" s="258"/>
      <c r="C88" s="258"/>
      <c r="D88" s="258"/>
      <c r="E88" s="258"/>
      <c r="F88" s="258"/>
      <c r="G88" s="258"/>
      <c r="H88" s="258"/>
      <c r="I88" s="258"/>
      <c r="J88" s="258"/>
      <c r="K88" s="258"/>
      <c r="L88" s="258"/>
      <c r="M88" s="258"/>
    </row>
    <row r="89" spans="1:14">
      <c r="A89" s="258"/>
      <c r="B89" s="258"/>
      <c r="C89" s="258"/>
      <c r="D89" s="258"/>
      <c r="E89" s="258"/>
      <c r="F89" s="258"/>
      <c r="G89" s="258"/>
      <c r="H89" s="258"/>
      <c r="I89" s="258"/>
      <c r="J89" s="258"/>
      <c r="K89" s="258"/>
      <c r="L89" s="258"/>
      <c r="M89" s="258"/>
    </row>
    <row r="90" spans="1:14">
      <c r="A90" s="258"/>
      <c r="B90" s="258"/>
      <c r="C90" s="258"/>
      <c r="D90" s="258"/>
      <c r="E90" s="258"/>
      <c r="F90" s="258"/>
      <c r="G90" s="258"/>
      <c r="H90" s="258"/>
      <c r="I90" s="258"/>
      <c r="J90" s="258"/>
      <c r="K90" s="258"/>
      <c r="L90" s="258"/>
      <c r="M90" s="258"/>
    </row>
    <row r="91" spans="1:14">
      <c r="A91" s="258"/>
      <c r="B91" s="258"/>
      <c r="C91" s="258"/>
      <c r="D91" s="258"/>
      <c r="E91" s="258"/>
      <c r="F91" s="258"/>
      <c r="G91" s="258"/>
      <c r="H91" s="258"/>
      <c r="I91" s="258"/>
      <c r="J91" s="258"/>
      <c r="K91" s="258"/>
      <c r="L91" s="258"/>
      <c r="M91" s="258"/>
    </row>
    <row r="92" spans="1:14">
      <c r="A92" s="258"/>
      <c r="B92" s="258"/>
      <c r="C92" s="258"/>
      <c r="D92" s="258"/>
      <c r="E92" s="258"/>
      <c r="F92" s="258"/>
      <c r="G92" s="258"/>
      <c r="H92" s="258"/>
      <c r="I92" s="258"/>
      <c r="J92" s="258"/>
      <c r="K92" s="258"/>
      <c r="L92" s="258"/>
      <c r="M92" s="258"/>
    </row>
    <row r="93" spans="1:14">
      <c r="A93" s="258"/>
      <c r="B93" s="258"/>
      <c r="C93" s="258"/>
      <c r="D93" s="258"/>
      <c r="E93" s="258"/>
      <c r="F93" s="258"/>
      <c r="G93" s="258"/>
      <c r="H93" s="258"/>
      <c r="I93" s="258"/>
      <c r="J93" s="258"/>
      <c r="K93" s="258"/>
      <c r="L93" s="258"/>
      <c r="M93" s="258"/>
      <c r="N93" s="151" t="s">
        <v>178</v>
      </c>
    </row>
    <row r="94" spans="1:14">
      <c r="A94" s="258"/>
      <c r="B94" s="258"/>
      <c r="C94" s="258"/>
      <c r="D94" s="258"/>
      <c r="E94" s="258"/>
      <c r="F94" s="258"/>
      <c r="G94" s="258"/>
      <c r="H94" s="258"/>
      <c r="I94" s="258"/>
      <c r="J94" s="258"/>
      <c r="K94" s="258"/>
      <c r="L94" s="258"/>
      <c r="M94" s="258"/>
    </row>
    <row r="95" spans="1:14">
      <c r="A95" s="258"/>
      <c r="B95" s="258"/>
      <c r="C95" s="258"/>
      <c r="D95" s="258"/>
      <c r="E95" s="258"/>
      <c r="F95" s="258"/>
      <c r="G95" s="258"/>
      <c r="H95" s="258"/>
      <c r="I95" s="258"/>
      <c r="J95" s="258"/>
      <c r="K95" s="258"/>
      <c r="L95" s="258"/>
      <c r="M95" s="258"/>
    </row>
    <row r="96" spans="1:14">
      <c r="A96" s="258"/>
      <c r="B96" s="258"/>
      <c r="C96" s="258"/>
      <c r="D96" s="258"/>
      <c r="E96" s="258"/>
      <c r="F96" s="258"/>
      <c r="G96" s="258"/>
      <c r="H96" s="258"/>
      <c r="I96" s="258"/>
      <c r="J96" s="258"/>
      <c r="K96" s="258"/>
      <c r="L96" s="258"/>
      <c r="M96" s="258"/>
    </row>
    <row r="97" spans="1:13">
      <c r="A97" s="258"/>
      <c r="B97" s="258"/>
      <c r="C97" s="258"/>
      <c r="D97" s="258"/>
      <c r="E97" s="258"/>
      <c r="F97" s="258"/>
      <c r="G97" s="258"/>
      <c r="H97" s="258"/>
      <c r="I97" s="258"/>
      <c r="J97" s="258"/>
      <c r="K97" s="258"/>
      <c r="L97" s="258"/>
      <c r="M97" s="258"/>
    </row>
    <row r="98" spans="1:13">
      <c r="A98" s="258"/>
      <c r="B98" s="258"/>
      <c r="C98" s="258"/>
      <c r="D98" s="258"/>
      <c r="E98" s="258"/>
      <c r="F98" s="258"/>
      <c r="G98" s="258"/>
      <c r="H98" s="258"/>
      <c r="I98" s="258"/>
      <c r="J98" s="258"/>
      <c r="K98" s="258"/>
      <c r="L98" s="258"/>
      <c r="M98" s="258"/>
    </row>
    <row r="99" spans="1:13">
      <c r="A99" s="258"/>
      <c r="B99" s="258"/>
      <c r="C99" s="258"/>
      <c r="D99" s="258"/>
      <c r="E99" s="258"/>
      <c r="F99" s="258"/>
      <c r="G99" s="258"/>
      <c r="H99" s="258"/>
      <c r="I99" s="258"/>
      <c r="J99" s="258"/>
      <c r="K99" s="258"/>
      <c r="L99" s="258"/>
      <c r="M99" s="258"/>
    </row>
    <row r="100" spans="1:13">
      <c r="A100" s="258"/>
      <c r="B100" s="258"/>
      <c r="C100" s="258"/>
      <c r="D100" s="258"/>
      <c r="E100" s="258"/>
      <c r="F100" s="258"/>
      <c r="G100" s="258"/>
      <c r="H100" s="258"/>
      <c r="I100" s="258"/>
      <c r="J100" s="258"/>
      <c r="K100" s="258"/>
      <c r="L100" s="258"/>
      <c r="M100" s="258"/>
    </row>
    <row r="101" spans="1:13">
      <c r="A101" s="258"/>
      <c r="B101" s="258"/>
      <c r="C101" s="258"/>
      <c r="D101" s="258"/>
      <c r="E101" s="258"/>
      <c r="F101" s="258"/>
      <c r="G101" s="258"/>
      <c r="H101" s="258"/>
      <c r="I101" s="258"/>
      <c r="J101" s="258"/>
      <c r="K101" s="258"/>
      <c r="L101" s="258"/>
      <c r="M101" s="258"/>
    </row>
    <row r="102" spans="1:13">
      <c r="A102" s="258"/>
      <c r="B102" s="258"/>
      <c r="C102" s="258"/>
      <c r="D102" s="258"/>
      <c r="E102" s="258"/>
      <c r="F102" s="258"/>
      <c r="G102" s="258"/>
      <c r="H102" s="258"/>
      <c r="I102" s="258"/>
      <c r="J102" s="258"/>
      <c r="K102" s="258"/>
      <c r="L102" s="258"/>
      <c r="M102" s="258"/>
    </row>
    <row r="103" spans="1:13">
      <c r="A103" s="258"/>
      <c r="B103" s="258"/>
      <c r="C103" s="258"/>
      <c r="D103" s="258"/>
      <c r="E103" s="258"/>
      <c r="F103" s="258"/>
      <c r="G103" s="258"/>
      <c r="H103" s="258"/>
      <c r="I103" s="258"/>
      <c r="J103" s="258"/>
      <c r="K103" s="258"/>
      <c r="L103" s="258"/>
      <c r="M103" s="258"/>
    </row>
    <row r="104" spans="1:13">
      <c r="A104" s="258"/>
      <c r="B104" s="258"/>
      <c r="C104" s="258"/>
      <c r="D104" s="258"/>
      <c r="E104" s="258"/>
      <c r="F104" s="258"/>
      <c r="G104" s="258"/>
      <c r="H104" s="258"/>
      <c r="I104" s="258"/>
      <c r="J104" s="258"/>
      <c r="K104" s="258"/>
      <c r="L104" s="258"/>
      <c r="M104" s="258"/>
    </row>
    <row r="105" spans="1:13">
      <c r="A105" s="258"/>
      <c r="B105" s="258"/>
      <c r="C105" s="258"/>
      <c r="D105" s="258"/>
      <c r="E105" s="258"/>
      <c r="F105" s="258"/>
      <c r="G105" s="258"/>
      <c r="H105" s="258"/>
      <c r="I105" s="258"/>
      <c r="J105" s="258"/>
      <c r="K105" s="258"/>
      <c r="L105" s="258"/>
      <c r="M105" s="258"/>
    </row>
    <row r="106" spans="1:13">
      <c r="A106" s="258"/>
      <c r="B106" s="258"/>
      <c r="C106" s="258"/>
      <c r="D106" s="258"/>
      <c r="E106" s="258"/>
      <c r="F106" s="258"/>
      <c r="G106" s="258"/>
      <c r="H106" s="258"/>
      <c r="I106" s="258"/>
      <c r="J106" s="258"/>
      <c r="K106" s="258"/>
      <c r="L106" s="258"/>
      <c r="M106" s="258"/>
    </row>
    <row r="107" spans="1:13">
      <c r="A107" s="258"/>
      <c r="B107" s="258"/>
      <c r="C107" s="258"/>
      <c r="D107" s="258"/>
      <c r="E107" s="258"/>
      <c r="F107" s="258"/>
      <c r="G107" s="258"/>
      <c r="H107" s="258"/>
      <c r="I107" s="258"/>
      <c r="J107" s="258"/>
      <c r="K107" s="258"/>
      <c r="L107" s="258"/>
      <c r="M107" s="258"/>
    </row>
    <row r="108" spans="1:13">
      <c r="A108" s="258"/>
      <c r="B108" s="258"/>
      <c r="C108" s="258"/>
      <c r="D108" s="258"/>
      <c r="E108" s="258"/>
      <c r="F108" s="258"/>
      <c r="G108" s="258"/>
      <c r="H108" s="258"/>
      <c r="I108" s="258"/>
      <c r="J108" s="258"/>
      <c r="K108" s="258"/>
      <c r="L108" s="258"/>
      <c r="M108" s="258"/>
    </row>
    <row r="109" spans="1:13">
      <c r="A109" s="258"/>
      <c r="B109" s="258"/>
      <c r="C109" s="258"/>
      <c r="D109" s="258"/>
      <c r="E109" s="258"/>
      <c r="F109" s="258"/>
      <c r="G109" s="258"/>
      <c r="H109" s="258"/>
      <c r="I109" s="258"/>
      <c r="J109" s="258"/>
      <c r="K109" s="258"/>
      <c r="L109" s="258"/>
      <c r="M109" s="258"/>
    </row>
    <row r="110" spans="1:13">
      <c r="A110" s="258"/>
      <c r="B110" s="258"/>
      <c r="C110" s="258"/>
      <c r="D110" s="258"/>
      <c r="E110" s="258"/>
      <c r="F110" s="258"/>
      <c r="G110" s="258"/>
      <c r="H110" s="258"/>
      <c r="I110" s="258"/>
      <c r="J110" s="258"/>
      <c r="K110" s="258"/>
      <c r="L110" s="258"/>
      <c r="M110" s="258"/>
    </row>
    <row r="111" spans="1:13">
      <c r="A111" s="258"/>
      <c r="B111" s="258"/>
      <c r="C111" s="258"/>
      <c r="D111" s="258"/>
      <c r="E111" s="258"/>
      <c r="F111" s="258"/>
      <c r="G111" s="258"/>
      <c r="H111" s="258"/>
      <c r="I111" s="258"/>
      <c r="J111" s="258"/>
      <c r="K111" s="258"/>
      <c r="L111" s="258"/>
      <c r="M111" s="258"/>
    </row>
    <row r="112" spans="1:13">
      <c r="A112" s="258"/>
      <c r="B112" s="258"/>
      <c r="C112" s="258"/>
      <c r="D112" s="258"/>
      <c r="E112" s="258"/>
      <c r="F112" s="258"/>
      <c r="G112" s="258"/>
      <c r="H112" s="258"/>
      <c r="I112" s="258"/>
      <c r="J112" s="258"/>
      <c r="K112" s="258"/>
      <c r="L112" s="258"/>
      <c r="M112" s="258"/>
    </row>
    <row r="113" spans="1:13" ht="21">
      <c r="A113" s="258"/>
      <c r="B113" s="813" t="s">
        <v>151</v>
      </c>
      <c r="C113" s="813"/>
      <c r="D113" s="258"/>
      <c r="E113" s="258"/>
      <c r="F113" s="258"/>
      <c r="G113" s="258"/>
      <c r="H113" s="258"/>
      <c r="I113" s="258"/>
      <c r="J113" s="258"/>
      <c r="K113" s="258"/>
      <c r="L113" s="258"/>
      <c r="M113" s="258"/>
    </row>
    <row r="114" spans="1:13">
      <c r="A114" s="258"/>
      <c r="B114" s="258"/>
      <c r="C114" s="258"/>
      <c r="D114" s="280">
        <f ca="1">MAX('List of materials'!C3:C49)</f>
        <v>154.23157038296179</v>
      </c>
      <c r="E114" s="258" t="s">
        <v>152</v>
      </c>
      <c r="F114" s="258"/>
      <c r="G114" s="258" t="s">
        <v>153</v>
      </c>
      <c r="H114" s="258" t="str">
        <f ca="1">_xlfn.XLOOKUP(D114,'List of materials'!C:C,'List of materials'!B:B)</f>
        <v>Béton pour bâtiment (sans armature)</v>
      </c>
      <c r="I114" s="258"/>
      <c r="J114" s="258"/>
      <c r="K114" s="258"/>
      <c r="L114" s="258"/>
      <c r="M114" s="258"/>
    </row>
    <row r="115" spans="1:13">
      <c r="A115" s="258"/>
      <c r="B115" s="258"/>
      <c r="C115" s="258"/>
      <c r="D115" s="258"/>
      <c r="E115" s="258"/>
      <c r="F115" s="258"/>
      <c r="G115" s="258"/>
      <c r="H115" s="258"/>
      <c r="I115" s="258"/>
      <c r="J115" s="258"/>
      <c r="K115" s="258"/>
      <c r="L115" s="258"/>
      <c r="M115" s="258"/>
    </row>
    <row r="116" spans="1:13">
      <c r="A116" s="258"/>
      <c r="B116" s="258"/>
      <c r="C116" s="258"/>
      <c r="D116" s="258"/>
      <c r="E116" s="258"/>
      <c r="F116" s="258"/>
      <c r="G116" s="258"/>
      <c r="H116" s="258"/>
      <c r="I116" s="258"/>
      <c r="J116" s="258"/>
      <c r="K116" s="258"/>
      <c r="L116" s="258"/>
      <c r="M116" s="258"/>
    </row>
    <row r="117" spans="1:13">
      <c r="A117" s="258"/>
      <c r="B117" s="258"/>
      <c r="C117" s="258"/>
      <c r="D117" s="258"/>
      <c r="E117" s="258"/>
      <c r="F117" s="258"/>
      <c r="G117" s="258"/>
      <c r="H117" s="258"/>
      <c r="I117" s="258"/>
      <c r="J117" s="258"/>
      <c r="K117" s="258"/>
      <c r="L117" s="258"/>
      <c r="M117" s="258"/>
    </row>
    <row r="118" spans="1:13">
      <c r="A118" s="258"/>
      <c r="B118" s="258"/>
      <c r="C118" s="258"/>
      <c r="D118" s="258"/>
      <c r="E118" s="258"/>
      <c r="F118" s="258"/>
      <c r="G118" s="258"/>
      <c r="H118" s="258"/>
      <c r="I118" s="258"/>
      <c r="J118" s="258"/>
      <c r="K118" s="258"/>
      <c r="L118" s="258"/>
      <c r="M118" s="258"/>
    </row>
    <row r="119" spans="1:13">
      <c r="A119" s="258"/>
      <c r="B119" s="258"/>
      <c r="C119" s="258"/>
      <c r="D119" s="258"/>
      <c r="E119" s="258"/>
      <c r="F119" s="258"/>
      <c r="G119" s="258"/>
      <c r="H119" s="258"/>
      <c r="I119" s="258"/>
      <c r="J119" s="258"/>
      <c r="K119" s="258"/>
      <c r="L119" s="258"/>
      <c r="M119" s="258"/>
    </row>
    <row r="120" spans="1:13">
      <c r="A120" s="258"/>
      <c r="B120" s="258"/>
      <c r="C120" s="258"/>
      <c r="D120" s="258"/>
      <c r="E120" s="258"/>
      <c r="F120" s="258"/>
      <c r="G120" s="258"/>
      <c r="H120" s="258"/>
      <c r="I120" s="258"/>
      <c r="J120" s="258"/>
      <c r="K120" s="258"/>
      <c r="L120" s="258"/>
      <c r="M120" s="258"/>
    </row>
    <row r="121" spans="1:13">
      <c r="A121" s="258"/>
      <c r="B121" s="258"/>
      <c r="C121" s="258"/>
      <c r="D121" s="258"/>
      <c r="E121" s="258"/>
      <c r="F121" s="258"/>
      <c r="G121" s="258"/>
      <c r="H121" s="258"/>
      <c r="I121" s="258"/>
      <c r="J121" s="258"/>
      <c r="K121" s="258"/>
      <c r="L121" s="258"/>
      <c r="M121" s="258"/>
    </row>
    <row r="122" spans="1:13">
      <c r="A122" s="258"/>
      <c r="B122" s="258"/>
      <c r="C122" s="258"/>
      <c r="D122" s="258"/>
      <c r="E122" s="258"/>
      <c r="F122" s="258"/>
      <c r="G122" s="258"/>
      <c r="H122" s="258"/>
      <c r="I122" s="258"/>
      <c r="J122" s="258"/>
      <c r="K122" s="258"/>
      <c r="L122" s="258"/>
      <c r="M122" s="258"/>
    </row>
    <row r="123" spans="1:13">
      <c r="A123" s="258"/>
      <c r="B123" s="258"/>
      <c r="C123" s="258"/>
      <c r="D123" s="258"/>
      <c r="E123" s="258"/>
      <c r="F123" s="258"/>
      <c r="G123" s="258"/>
      <c r="H123" s="258"/>
      <c r="I123" s="258"/>
      <c r="J123" s="258"/>
      <c r="K123" s="258"/>
      <c r="L123" s="258"/>
      <c r="M123" s="258"/>
    </row>
    <row r="124" spans="1:13">
      <c r="A124" s="258"/>
      <c r="B124" s="258"/>
      <c r="C124" s="258"/>
      <c r="D124" s="258"/>
      <c r="E124" s="258"/>
      <c r="F124" s="258"/>
      <c r="G124" s="258"/>
      <c r="H124" s="258"/>
      <c r="I124" s="258"/>
      <c r="J124" s="258"/>
      <c r="K124" s="258"/>
      <c r="L124" s="258"/>
      <c r="M124" s="258"/>
    </row>
    <row r="125" spans="1:13">
      <c r="A125" s="258"/>
      <c r="B125" s="258"/>
      <c r="C125" s="258"/>
      <c r="D125" s="258"/>
      <c r="E125" s="258"/>
      <c r="F125" s="258"/>
      <c r="G125" s="258"/>
      <c r="H125" s="258"/>
      <c r="I125" s="258"/>
      <c r="J125" s="258"/>
      <c r="K125" s="258"/>
      <c r="L125" s="258"/>
      <c r="M125" s="258"/>
    </row>
    <row r="126" spans="1:13">
      <c r="A126" s="258"/>
      <c r="B126" s="258"/>
      <c r="C126" s="258"/>
      <c r="D126" s="258"/>
      <c r="E126" s="258"/>
      <c r="F126" s="258"/>
      <c r="G126" s="258"/>
      <c r="H126" s="258"/>
      <c r="I126" s="258"/>
      <c r="J126" s="258"/>
      <c r="K126" s="258"/>
      <c r="L126" s="258"/>
      <c r="M126" s="258"/>
    </row>
    <row r="127" spans="1:13">
      <c r="A127" s="258"/>
      <c r="B127" s="258"/>
      <c r="C127" s="258"/>
      <c r="D127" s="258"/>
      <c r="E127" s="258"/>
      <c r="F127" s="258"/>
      <c r="G127" s="258"/>
      <c r="H127" s="258"/>
      <c r="I127" s="258"/>
      <c r="J127" s="258"/>
      <c r="K127" s="258"/>
      <c r="L127" s="258"/>
      <c r="M127" s="258"/>
    </row>
    <row r="128" spans="1:13">
      <c r="A128" s="258"/>
      <c r="B128" s="258"/>
      <c r="C128" s="258"/>
      <c r="D128" s="258"/>
      <c r="E128" s="258"/>
      <c r="F128" s="258"/>
      <c r="G128" s="258"/>
      <c r="H128" s="258"/>
      <c r="I128" s="258"/>
      <c r="J128" s="258"/>
      <c r="K128" s="258"/>
      <c r="L128" s="258"/>
      <c r="M128" s="258"/>
    </row>
    <row r="129" spans="1:13">
      <c r="A129" s="258"/>
      <c r="B129" s="258"/>
      <c r="C129" s="258"/>
      <c r="D129" s="258"/>
      <c r="E129" s="258"/>
      <c r="F129" s="258"/>
      <c r="G129" s="258"/>
      <c r="H129" s="258"/>
      <c r="I129" s="258"/>
      <c r="J129" s="258"/>
      <c r="K129" s="258"/>
      <c r="L129" s="258"/>
      <c r="M129" s="258"/>
    </row>
    <row r="130" spans="1:13">
      <c r="A130" s="258"/>
      <c r="B130" s="258"/>
      <c r="C130" s="258"/>
      <c r="D130" s="258"/>
      <c r="E130" s="258"/>
      <c r="F130" s="258"/>
      <c r="G130" s="258"/>
      <c r="H130" s="258"/>
      <c r="I130" s="258"/>
      <c r="J130" s="258"/>
      <c r="K130" s="258"/>
      <c r="L130" s="258"/>
      <c r="M130" s="258"/>
    </row>
    <row r="131" spans="1:13">
      <c r="A131" s="258"/>
      <c r="B131" s="258"/>
      <c r="C131" s="258"/>
      <c r="D131" s="258"/>
      <c r="E131" s="258"/>
      <c r="F131" s="258"/>
      <c r="G131" s="258"/>
      <c r="H131" s="258"/>
      <c r="I131" s="258"/>
      <c r="J131" s="258"/>
      <c r="K131" s="258"/>
      <c r="L131" s="258"/>
      <c r="M131" s="258"/>
    </row>
    <row r="132" spans="1:13">
      <c r="A132" s="258"/>
      <c r="B132" s="258"/>
      <c r="C132" s="258"/>
      <c r="D132" s="258"/>
      <c r="E132" s="258"/>
      <c r="F132" s="258"/>
      <c r="G132" s="258"/>
      <c r="H132" s="258"/>
      <c r="I132" s="258"/>
      <c r="J132" s="258"/>
      <c r="K132" s="258"/>
      <c r="L132" s="258"/>
      <c r="M132" s="258"/>
    </row>
    <row r="133" spans="1:13">
      <c r="A133" s="258"/>
      <c r="B133" s="258"/>
      <c r="C133" s="258"/>
      <c r="D133" s="258"/>
      <c r="E133" s="258"/>
      <c r="F133" s="258"/>
      <c r="G133" s="258"/>
      <c r="H133" s="258"/>
      <c r="I133" s="258"/>
      <c r="J133" s="258"/>
      <c r="K133" s="258"/>
      <c r="L133" s="258"/>
      <c r="M133" s="258"/>
    </row>
    <row r="134" spans="1:13">
      <c r="A134" s="258"/>
      <c r="B134" s="258"/>
      <c r="C134" s="258"/>
      <c r="D134" s="258"/>
      <c r="E134" s="258"/>
      <c r="F134" s="258"/>
      <c r="G134" s="258"/>
      <c r="H134" s="258"/>
      <c r="I134" s="258"/>
      <c r="J134" s="258"/>
      <c r="K134" s="258"/>
      <c r="L134" s="258"/>
      <c r="M134" s="258"/>
    </row>
    <row r="135" spans="1:13">
      <c r="A135" s="258"/>
      <c r="B135" s="258"/>
      <c r="C135" s="258"/>
      <c r="D135" s="258"/>
      <c r="E135" s="258"/>
      <c r="F135" s="258"/>
      <c r="G135" s="258"/>
      <c r="H135" s="258"/>
      <c r="I135" s="258"/>
      <c r="J135" s="258"/>
      <c r="K135" s="258"/>
      <c r="L135" s="258"/>
      <c r="M135" s="258"/>
    </row>
    <row r="136" spans="1:13">
      <c r="A136" s="258"/>
      <c r="B136" s="258"/>
      <c r="C136" s="258"/>
      <c r="D136" s="258"/>
      <c r="E136" s="258"/>
      <c r="F136" s="258"/>
      <c r="G136" s="258"/>
      <c r="H136" s="258"/>
      <c r="I136" s="258"/>
      <c r="J136" s="258"/>
      <c r="K136" s="258"/>
      <c r="L136" s="258"/>
      <c r="M136" s="258"/>
    </row>
    <row r="137" spans="1:13">
      <c r="A137" s="258"/>
      <c r="B137" s="258"/>
      <c r="C137" s="258"/>
      <c r="D137" s="258"/>
      <c r="E137" s="258"/>
      <c r="F137" s="258"/>
      <c r="G137" s="258"/>
      <c r="H137" s="258"/>
      <c r="I137" s="258"/>
      <c r="J137" s="258"/>
      <c r="K137" s="258"/>
      <c r="L137" s="258"/>
      <c r="M137" s="258"/>
    </row>
    <row r="138" spans="1:13">
      <c r="A138" s="258"/>
      <c r="B138" s="258"/>
      <c r="C138" s="258"/>
      <c r="D138" s="258"/>
      <c r="E138" s="258"/>
      <c r="F138" s="258"/>
      <c r="G138" s="258"/>
      <c r="H138" s="258"/>
      <c r="I138" s="258"/>
      <c r="J138" s="258"/>
      <c r="K138" s="258"/>
      <c r="L138" s="258"/>
      <c r="M138" s="258"/>
    </row>
    <row r="139" spans="1:13">
      <c r="A139" s="258"/>
      <c r="B139" s="258"/>
      <c r="C139" s="258"/>
      <c r="D139" s="258"/>
      <c r="E139" s="258"/>
      <c r="F139" s="258"/>
      <c r="G139" s="258"/>
      <c r="H139" s="258"/>
      <c r="I139" s="258"/>
      <c r="J139" s="258"/>
      <c r="K139" s="258"/>
      <c r="L139" s="258"/>
      <c r="M139" s="258"/>
    </row>
    <row r="140" spans="1:13">
      <c r="A140" s="258"/>
      <c r="B140" s="258"/>
      <c r="C140" s="258"/>
      <c r="D140" s="258"/>
      <c r="E140" s="258"/>
      <c r="F140" s="258"/>
      <c r="G140" s="258"/>
      <c r="H140" s="258"/>
      <c r="I140" s="258"/>
      <c r="J140" s="258"/>
      <c r="K140" s="258"/>
      <c r="L140" s="258"/>
      <c r="M140" s="258"/>
    </row>
    <row r="141" spans="1:13">
      <c r="A141" s="258"/>
      <c r="B141" s="258"/>
      <c r="C141" s="258"/>
      <c r="D141" s="258"/>
      <c r="E141" s="258"/>
      <c r="F141" s="258"/>
      <c r="G141" s="258"/>
      <c r="H141" s="258"/>
      <c r="I141" s="258"/>
      <c r="J141" s="258"/>
      <c r="K141" s="258"/>
      <c r="L141" s="258"/>
      <c r="M141" s="258"/>
    </row>
    <row r="142" spans="1:13">
      <c r="A142" s="258"/>
      <c r="B142" s="258"/>
      <c r="C142" s="258"/>
      <c r="D142" s="258"/>
      <c r="E142" s="258"/>
      <c r="F142" s="258"/>
      <c r="G142" s="258"/>
      <c r="H142" s="258"/>
      <c r="I142" s="258"/>
      <c r="J142" s="258"/>
      <c r="K142" s="258"/>
      <c r="L142" s="258"/>
      <c r="M142" s="258"/>
    </row>
    <row r="143" spans="1:13">
      <c r="A143" s="258"/>
      <c r="B143" s="258"/>
      <c r="C143" s="258"/>
      <c r="D143" s="258"/>
      <c r="E143" s="258"/>
      <c r="F143" s="258"/>
      <c r="G143" s="258"/>
      <c r="H143" s="258"/>
      <c r="I143" s="258"/>
      <c r="J143" s="258"/>
      <c r="K143" s="258"/>
      <c r="L143" s="258"/>
      <c r="M143" s="258"/>
    </row>
    <row r="144" spans="1:13">
      <c r="A144" s="258"/>
      <c r="B144" s="258"/>
      <c r="C144" s="258"/>
      <c r="D144" s="258"/>
      <c r="E144" s="258"/>
      <c r="F144" s="258"/>
      <c r="G144" s="258"/>
      <c r="H144" s="258"/>
      <c r="I144" s="258"/>
      <c r="J144" s="258"/>
      <c r="K144" s="258"/>
      <c r="L144" s="258"/>
      <c r="M144" s="258"/>
    </row>
    <row r="145" spans="1:13">
      <c r="A145" s="258"/>
      <c r="B145" s="258"/>
      <c r="C145" s="258"/>
      <c r="D145" s="258"/>
      <c r="E145" s="258"/>
      <c r="F145" s="258"/>
      <c r="G145" s="258"/>
      <c r="H145" s="258"/>
      <c r="I145" s="258"/>
      <c r="J145" s="258"/>
      <c r="K145" s="258"/>
      <c r="L145" s="258"/>
      <c r="M145" s="258"/>
    </row>
  </sheetData>
  <customSheetViews>
    <customSheetView guid="{B32447E2-AB5B-4CBB-881B-FF11349CA4D6}" scale="85" hiddenRows="1">
      <selection activeCell="O48" sqref="O48"/>
      <pageMargins left="0" right="0" top="0" bottom="0" header="0" footer="0"/>
      <pageSetup paperSize="9" orientation="portrait" r:id="rId1"/>
    </customSheetView>
    <customSheetView guid="{9FA74287-E657-475B-BF4B-3C8C757714AE}" scale="85" hiddenRows="1">
      <selection activeCell="O48" sqref="O48"/>
      <pageMargins left="0" right="0" top="0" bottom="0" header="0" footer="0"/>
      <pageSetup paperSize="9" orientation="portrait" r:id="rId2"/>
    </customSheetView>
    <customSheetView guid="{54A7C567-FA7D-467E-B353-ECB5E61AE756}" scale="30" fitToPage="1" printArea="1" view="pageLayout">
      <selection activeCell="Q21" sqref="Q21"/>
      <rowBreaks count="1" manualBreakCount="1">
        <brk id="21" max="16383" man="1"/>
      </rowBreaks>
      <pageMargins left="0" right="0" top="0" bottom="0" header="0" footer="0"/>
      <pageSetup paperSize="9" scale="36" fitToWidth="0" orientation="landscape" r:id="rId3"/>
    </customSheetView>
  </customSheetViews>
  <mergeCells count="8">
    <mergeCell ref="L36:L40"/>
    <mergeCell ref="AC28:AC29"/>
    <mergeCell ref="A1:M2"/>
    <mergeCell ref="B7:E8"/>
    <mergeCell ref="H7:J8"/>
    <mergeCell ref="B25:B26"/>
    <mergeCell ref="L7:L8"/>
    <mergeCell ref="F7:F8"/>
  </mergeCells>
  <phoneticPr fontId="68" type="noConversion"/>
  <conditionalFormatting sqref="D14">
    <cfRule type="cellIs" dxfId="325" priority="49" operator="lessThan">
      <formula>$F$14</formula>
    </cfRule>
  </conditionalFormatting>
  <conditionalFormatting sqref="D18">
    <cfRule type="cellIs" dxfId="324" priority="9" operator="lessThan">
      <formula>$F$18-$F$17</formula>
    </cfRule>
  </conditionalFormatting>
  <conditionalFormatting sqref="D54">
    <cfRule type="cellIs" dxfId="323" priority="1237" operator="lessThan">
      <formula>$J$30</formula>
    </cfRule>
    <cfRule type="cellIs" dxfId="322" priority="1238" operator="greaterThan">
      <formula>$J$34</formula>
    </cfRule>
  </conditionalFormatting>
  <conditionalFormatting sqref="D55">
    <cfRule type="cellIs" dxfId="321" priority="1239" operator="lessThan">
      <formula>$J$31</formula>
    </cfRule>
  </conditionalFormatting>
  <conditionalFormatting sqref="D56:D57 D59">
    <cfRule type="cellIs" dxfId="320" priority="1240" operator="greaterThan">
      <formula>$J$29</formula>
    </cfRule>
  </conditionalFormatting>
  <conditionalFormatting sqref="D73">
    <cfRule type="cellIs" dxfId="319" priority="1242" operator="greaterThan">
      <formula>$J$32</formula>
    </cfRule>
  </conditionalFormatting>
  <conditionalFormatting sqref="D74">
    <cfRule type="cellIs" dxfId="318" priority="1243" operator="greaterThan">
      <formula>$J$33</formula>
    </cfRule>
  </conditionalFormatting>
  <conditionalFormatting sqref="D62 D73:D74">
    <cfRule type="cellIs" dxfId="317" priority="1244" operator="greaterThan">
      <formula>$AE$30</formula>
    </cfRule>
  </conditionalFormatting>
  <conditionalFormatting sqref="D63">
    <cfRule type="cellIs" dxfId="316" priority="1246" operator="greaterThan">
      <formula>$AE$31</formula>
    </cfRule>
  </conditionalFormatting>
  <conditionalFormatting sqref="D64">
    <cfRule type="cellIs" dxfId="315" priority="1247" operator="greaterThan">
      <formula>$AE$32</formula>
    </cfRule>
  </conditionalFormatting>
  <conditionalFormatting sqref="D65">
    <cfRule type="cellIs" dxfId="314" priority="1248" operator="greaterThan">
      <formula>$AE$33</formula>
    </cfRule>
  </conditionalFormatting>
  <conditionalFormatting sqref="D66">
    <cfRule type="cellIs" dxfId="313" priority="1249" operator="greaterThan">
      <formula>$AE$34</formula>
    </cfRule>
  </conditionalFormatting>
  <conditionalFormatting sqref="D67">
    <cfRule type="cellIs" dxfId="312" priority="1250" operator="greaterThan">
      <formula>$AE$35</formula>
    </cfRule>
  </conditionalFormatting>
  <conditionalFormatting sqref="D68">
    <cfRule type="cellIs" dxfId="311" priority="1251" operator="greaterThan">
      <formula>$AE$36</formula>
    </cfRule>
  </conditionalFormatting>
  <conditionalFormatting sqref="D69">
    <cfRule type="cellIs" dxfId="310" priority="1252" operator="greaterThan">
      <formula>$AE$37</formula>
    </cfRule>
  </conditionalFormatting>
  <conditionalFormatting sqref="D70">
    <cfRule type="cellIs" dxfId="309" priority="1253" operator="greaterThan">
      <formula>$AE$40</formula>
    </cfRule>
  </conditionalFormatting>
  <conditionalFormatting sqref="J20">
    <cfRule type="cellIs" dxfId="308" priority="1254" operator="greaterThan">
      <formula>$L$20</formula>
    </cfRule>
  </conditionalFormatting>
  <pageMargins left="0.25" right="0.25" top="0.75" bottom="0.75" header="0.3" footer="0.3"/>
  <pageSetup paperSize="9" scale="44" fitToHeight="0" orientation="portrait" r:id="rId4"/>
  <rowBreaks count="1" manualBreakCount="1">
    <brk id="51" max="16383"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6" id="{6C04710D-8DAB-45B4-8AAE-CFEBEE2E5996}">
            <xm:f>IF(D9=Liste!A5,"VRAI",)</xm:f>
            <x14:dxf>
              <font>
                <color theme="0" tint="-0.14996795556505021"/>
              </font>
              <fill>
                <patternFill>
                  <bgColor theme="0" tint="-0.14996795556505021"/>
                </patternFill>
              </fill>
            </x14:dxf>
          </x14:cfRule>
          <xm:sqref>E9</xm:sqref>
        </x14:conditionalFormatting>
        <x14:conditionalFormatting xmlns:xm="http://schemas.microsoft.com/office/excel/2006/main">
          <x14:cfRule type="expression" priority="29" id="{7BCC6215-D3DC-4D7A-A85B-B1CDCF419B33}">
            <xm:f>IF(J13=Liste!$C$5,"VRAI",)</xm:f>
            <x14:dxf>
              <font>
                <color theme="1" tint="0.499984740745262"/>
              </font>
            </x14:dxf>
          </x14:cfRule>
          <xm:sqref>I16</xm:sqref>
        </x14:conditionalFormatting>
        <x14:conditionalFormatting xmlns:xm="http://schemas.microsoft.com/office/excel/2006/main">
          <x14:cfRule type="expression" priority="32" id="{93E83815-2257-4D9B-84F8-BA1323C8C04D}">
            <xm:f>IF(J13=Liste!C3,"VRAI",)</xm:f>
            <x14:dxf>
              <font>
                <color theme="1"/>
              </font>
              <fill>
                <patternFill>
                  <bgColor theme="0"/>
                </patternFill>
              </fill>
            </x14:dxf>
          </x14:cfRule>
          <xm:sqref>J14</xm:sqref>
        </x14:conditionalFormatting>
        <x14:conditionalFormatting xmlns:xm="http://schemas.microsoft.com/office/excel/2006/main">
          <x14:cfRule type="expression" priority="30" id="{D4CAC74B-569F-40A9-B7BF-DF8EB69FEC79}">
            <xm:f>IF(J13=Liste!C6,"VRAI",)</xm:f>
            <x14:dxf>
              <font>
                <color theme="1"/>
              </font>
              <fill>
                <patternFill>
                  <fgColor auto="1"/>
                  <bgColor theme="0"/>
                </patternFill>
              </fill>
            </x14:dxf>
          </x14:cfRule>
          <xm:sqref>J15</xm:sqref>
        </x14:conditionalFormatting>
        <x14:conditionalFormatting xmlns:xm="http://schemas.microsoft.com/office/excel/2006/main">
          <x14:cfRule type="expression" priority="27" id="{4DAC8A2E-96FB-486B-98DA-3B940964789D}">
            <xm:f>IF(J13=Liste!$C$5,"VRAI",)</xm:f>
            <x14:dxf>
              <font>
                <color theme="1"/>
              </font>
              <fill>
                <patternFill>
                  <bgColor theme="9" tint="0.59996337778862885"/>
                </patternFill>
              </fill>
            </x14:dxf>
          </x14:cfRule>
          <xm:sqref>J16</xm:sqref>
        </x14:conditionalFormatting>
        <x14:conditionalFormatting xmlns:xm="http://schemas.microsoft.com/office/excel/2006/main">
          <x14:cfRule type="expression" priority="1223" id="{2A221C72-EAB3-4BBD-B23D-51EA48F567D9}">
            <xm:f>IF(J21=Liste!E3,"VRAI",)</xm:f>
            <x14:dxf>
              <font>
                <color theme="0"/>
              </font>
              <fill>
                <patternFill>
                  <bgColor theme="0"/>
                </patternFill>
              </fill>
              <border>
                <left/>
                <right/>
                <top style="thin">
                  <color auto="1"/>
                </top>
                <bottom/>
              </border>
            </x14:dxf>
          </x14:cfRule>
          <xm:sqref>H34</xm:sqref>
        </x14:conditionalFormatting>
        <x14:conditionalFormatting xmlns:xm="http://schemas.microsoft.com/office/excel/2006/main">
          <x14:cfRule type="expression" priority="1224" id="{DC42FEA3-0896-4431-AD4A-3707F1E87AD6}">
            <xm:f>IF(H21=Liste!C3,"VRAI",)</xm:f>
            <x14:dxf>
              <font>
                <color theme="0"/>
              </font>
              <fill>
                <patternFill>
                  <bgColor theme="0"/>
                </patternFill>
              </fill>
              <border>
                <left/>
                <right/>
                <top style="thin">
                  <color auto="1"/>
                </top>
                <bottom/>
              </border>
            </x14:dxf>
          </x14:cfRule>
          <xm:sqref>H34:J34</xm:sqref>
        </x14:conditionalFormatting>
        <x14:conditionalFormatting xmlns:xm="http://schemas.microsoft.com/office/excel/2006/main">
          <x14:cfRule type="expression" priority="1225" id="{251D921C-450E-48DB-B7DD-7EE2C7CDD012}">
            <xm:f>IF(J21=Liste!E3,"VRAI",)</xm:f>
            <x14:dxf>
              <font>
                <color theme="0"/>
              </font>
              <fill>
                <patternFill>
                  <bgColor theme="0"/>
                </patternFill>
              </fill>
              <border>
                <left/>
                <right/>
                <top style="thin">
                  <color auto="1"/>
                </top>
                <bottom/>
                <vertical/>
                <horizontal/>
              </border>
            </x14:dxf>
          </x14:cfRule>
          <xm:sqref>I34</xm:sqref>
        </x14:conditionalFormatting>
        <x14:conditionalFormatting xmlns:xm="http://schemas.microsoft.com/office/excel/2006/main">
          <x14:cfRule type="expression" priority="1226" id="{264FAF6D-960F-4F15-95DF-897A65407F21}">
            <xm:f>IF(J21=Liste!E3,"VRAI",)</xm:f>
            <x14:dxf>
              <font>
                <color theme="0"/>
              </font>
              <fill>
                <patternFill>
                  <bgColor theme="0"/>
                </patternFill>
              </fill>
              <border>
                <left/>
                <right/>
                <top style="thin">
                  <color auto="1"/>
                </top>
                <bottom/>
                <vertical/>
                <horizontal/>
              </border>
            </x14:dxf>
          </x14:cfRule>
          <xm:sqref>K34</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359B726E-A9EE-4D32-8B4D-078F9F1CBACB}">
          <x14:formula1>
            <xm:f>_xlfn.ANCHORARRAY(Liste!$B$45)</xm:f>
          </x14:formula1>
          <xm:sqref>D34</xm:sqref>
        </x14:dataValidation>
        <x14:dataValidation type="list" allowBlank="1" showInputMessage="1" showErrorMessage="1" xr:uid="{4F9C3F15-D7FF-4768-A484-87D413E1172B}">
          <x14:formula1>
            <xm:f>Liste!$E$3:$E$6</xm:f>
          </x14:formula1>
          <xm:sqref>J21</xm:sqref>
        </x14:dataValidation>
        <x14:dataValidation type="list" showInputMessage="1" showErrorMessage="1" xr:uid="{258ECD15-158B-4FCC-AED2-C51DE2E0E981}">
          <x14:formula1>
            <xm:f>Liste!$B$3:$B$6</xm:f>
          </x14:formula1>
          <xm:sqref>D10</xm:sqref>
        </x14:dataValidation>
        <x14:dataValidation type="list" allowBlank="1" showInputMessage="1" showErrorMessage="1" xr:uid="{5549B6BE-719C-4043-8274-3C330B33D960}">
          <x14:formula1>
            <xm:f>Liste!$A$9:$A$11</xm:f>
          </x14:formula1>
          <xm:sqref>D30</xm:sqref>
        </x14:dataValidation>
        <x14:dataValidation type="list" allowBlank="1" showInputMessage="1" showErrorMessage="1" xr:uid="{FB7B1A16-2645-41B0-9D71-A620E84157A3}">
          <x14:formula1>
            <xm:f>Liste!$B$9:$B$11</xm:f>
          </x14:formula1>
          <xm:sqref>D28</xm:sqref>
        </x14:dataValidation>
        <x14:dataValidation type="list" allowBlank="1" showInputMessage="1" showErrorMessage="1" xr:uid="{B73A2DDB-7EAA-4C87-9109-C6D4C4864363}">
          <x14:formula1>
            <xm:f>Liste!$C$9:$C$11</xm:f>
          </x14:formula1>
          <xm:sqref>D29</xm:sqref>
        </x14:dataValidation>
        <x14:dataValidation type="list" allowBlank="1" showInputMessage="1" showErrorMessage="1" xr:uid="{8AD5C11E-7D4F-4ADF-960E-ACA06D575ABC}">
          <x14:formula1>
            <xm:f>Liste!$A$16:$A$17</xm:f>
          </x14:formula1>
          <xm:sqref>D32</xm:sqref>
        </x14:dataValidation>
        <x14:dataValidation type="list" allowBlank="1" showInputMessage="1" showErrorMessage="1" xr:uid="{B89F07E9-25D4-4682-9B62-43339F56FBBC}">
          <x14:formula1>
            <xm:f>Liste!$G$16:$G$17</xm:f>
          </x14:formula1>
          <xm:sqref>D37</xm:sqref>
        </x14:dataValidation>
        <x14:dataValidation type="list" allowBlank="1" showInputMessage="1" showErrorMessage="1" xr:uid="{75F81316-280B-4BBB-B5EB-F5FB7ED42365}">
          <x14:formula1>
            <xm:f>_xlfn.ANCHORARRAY(Liste!$C$63)</xm:f>
          </x14:formula1>
          <xm:sqref>D41</xm:sqref>
        </x14:dataValidation>
        <x14:dataValidation type="list" allowBlank="1" showInputMessage="1" showErrorMessage="1" xr:uid="{B9227941-EE3F-4673-9F6F-180C9F4BE4F4}">
          <x14:formula1>
            <xm:f>Liste!$C$3:$C$6</xm:f>
          </x14:formula1>
          <xm:sqref>J13</xm:sqref>
        </x14:dataValidation>
        <x14:dataValidation type="list" allowBlank="1" showInputMessage="1" showErrorMessage="1" xr:uid="{443F9F1D-0189-4935-B561-F0D89951D238}">
          <x14:formula1>
            <xm:f>Liste!$D$3:$D$6</xm:f>
          </x14:formula1>
          <xm:sqref>J15</xm:sqref>
        </x14:dataValidation>
        <x14:dataValidation type="list" allowBlank="1" showInputMessage="1" showErrorMessage="1" xr:uid="{BC325E4B-DD02-434E-A46A-902E470D63C4}">
          <x14:formula1>
            <xm:f>_xlfn.ANCHORARRAY(Liste!$I$45)</xm:f>
          </x14:formula1>
          <xm:sqref>D35</xm:sqref>
        </x14:dataValidation>
        <x14:dataValidation type="list" allowBlank="1" showInputMessage="1" showErrorMessage="1" xr:uid="{C85D8D90-82F7-4466-A972-1F68BC51B04F}">
          <x14:formula1>
            <xm:f>_xlfn.ANCHORARRAY(Liste!$A$45)</xm:f>
          </x14:formula1>
          <xm:sqref>D33</xm:sqref>
        </x14:dataValidation>
        <x14:dataValidation type="list" allowBlank="1" showInputMessage="1" showErrorMessage="1" xr:uid="{798C369D-4729-4ED0-A76F-C256C0F6F263}">
          <x14:formula1>
            <xm:f>_xlfn.ANCHORARRAY(Liste!$A$63)</xm:f>
          </x14:formula1>
          <xm:sqref>D40:D41</xm:sqref>
        </x14:dataValidation>
        <x14:dataValidation type="list" allowBlank="1" showInputMessage="1" showErrorMessage="1" xr:uid="{3F36146A-51DD-483F-88C9-E761701FD9BA}">
          <x14:formula1>
            <xm:f>_xlfn.ANCHORARRAY(Liste!$E$45)</xm:f>
          </x14:formula1>
          <xm:sqref>D36</xm:sqref>
        </x14:dataValidation>
        <x14:dataValidation type="list" allowBlank="1" showInputMessage="1" showErrorMessage="1" xr:uid="{13885146-8AD6-48D1-AB39-E6A2A4D1554E}">
          <x14:formula1>
            <xm:f>_xlfn.ANCHORARRAY(Liste!$G$45)</xm:f>
          </x14:formula1>
          <xm:sqref>D38</xm:sqref>
        </x14:dataValidation>
        <x14:dataValidation type="list" allowBlank="1" showInputMessage="1" showErrorMessage="1" xr:uid="{8FD21D03-6352-4D81-941B-AE5870402692}">
          <x14:formula1>
            <xm:f>Liste!$A$3:$A$5</xm:f>
          </x14:formula1>
          <xm:sqref>D9</xm:sqref>
        </x14:dataValidation>
        <x14:dataValidation type="list" allowBlank="1" showInputMessage="1" showErrorMessage="1" xr:uid="{D8057C7C-D1B4-439F-A76F-90BBF6153749}">
          <x14:formula1>
            <xm:f>_xlfn.ANCHORARRAY(Liste!$A$89)</xm:f>
          </x14:formula1>
          <xm:sqref>D43:D45</xm:sqref>
        </x14:dataValidation>
        <x14:dataValidation type="list" allowBlank="1" showInputMessage="1" showErrorMessage="1" xr:uid="{134B79BD-C7F1-4D53-936E-21A558EB0CBC}">
          <x14:formula1>
            <xm:f>Liste!$H$3:$H$4</xm:f>
          </x14:formula1>
          <xm:sqref>E9</xm:sqref>
        </x14:dataValidation>
        <x14:dataValidation type="list" allowBlank="1" showInputMessage="1" showErrorMessage="1" xr:uid="{2549AA98-405D-4646-BC01-D0BFB54F400F}">
          <x14:formula1>
            <xm:f>'Station climatique'!$A$11:$A$50</xm:f>
          </x14:formula1>
          <xm:sqref>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4ECF-4CE3-4EB5-8FB0-D18C5ADD71D4}">
  <sheetPr>
    <tabColor theme="5"/>
  </sheetPr>
  <dimension ref="A1:L54"/>
  <sheetViews>
    <sheetView workbookViewId="0">
      <selection activeCell="H9" sqref="H9"/>
    </sheetView>
  </sheetViews>
  <sheetFormatPr baseColWidth="10" defaultRowHeight="15.75"/>
  <cols>
    <col min="8" max="8" width="17" style="1302" bestFit="1" customWidth="1"/>
    <col min="9" max="9" width="17" style="1302" customWidth="1"/>
    <col min="10" max="10" width="22.25" style="1302" bestFit="1" customWidth="1"/>
    <col min="11" max="11" width="17.375" style="1302" bestFit="1" customWidth="1"/>
    <col min="12" max="12" width="12.5" style="1302" bestFit="1" customWidth="1"/>
  </cols>
  <sheetData>
    <row r="1" spans="1:12">
      <c r="A1" s="528"/>
      <c r="B1" s="528"/>
      <c r="C1" s="528"/>
      <c r="D1" s="528" t="s">
        <v>4448</v>
      </c>
      <c r="E1" s="528" t="s">
        <v>4449</v>
      </c>
      <c r="F1" s="528" t="s">
        <v>489</v>
      </c>
      <c r="H1" s="1814" t="s">
        <v>4476</v>
      </c>
      <c r="I1" s="1814" t="s">
        <v>4481</v>
      </c>
      <c r="J1" s="1814" t="s">
        <v>4477</v>
      </c>
      <c r="K1" s="1814" t="s">
        <v>4478</v>
      </c>
      <c r="L1" s="1814" t="s">
        <v>4482</v>
      </c>
    </row>
    <row r="2" spans="1:12">
      <c r="A2" s="528"/>
      <c r="B2" s="528"/>
      <c r="C2" s="528"/>
      <c r="D2" s="528" t="s">
        <v>4450</v>
      </c>
      <c r="E2" s="528" t="s">
        <v>4451</v>
      </c>
      <c r="F2" s="528"/>
    </row>
    <row r="3" spans="1:12">
      <c r="A3" s="536" t="s">
        <v>4452</v>
      </c>
      <c r="B3" s="536"/>
      <c r="C3" s="536"/>
      <c r="D3" s="536"/>
      <c r="E3" s="536"/>
      <c r="F3" s="536"/>
      <c r="H3" s="1302">
        <f>IF('Outil simplifié'!$D$10=Liste!$B$4,0.28,0.25)</f>
        <v>0.25</v>
      </c>
      <c r="I3" s="1302">
        <f>0.13+0.04</f>
        <v>0.17</v>
      </c>
      <c r="J3" s="1302">
        <f>1/2</f>
        <v>0.5</v>
      </c>
      <c r="K3" s="1302">
        <f>1/H3-J3-I3</f>
        <v>3.33</v>
      </c>
    </row>
    <row r="4" spans="1:12">
      <c r="A4" s="978" t="s">
        <v>208</v>
      </c>
      <c r="B4" s="978"/>
      <c r="C4" s="978"/>
      <c r="D4" s="978">
        <v>2.9000000000000001E-2</v>
      </c>
      <c r="E4" s="978">
        <v>35</v>
      </c>
      <c r="F4" s="1805" t="s">
        <v>581</v>
      </c>
      <c r="L4" s="1832">
        <f>ROUNDUP(K3*D4,2)</f>
        <v>9.9999999999999992E-2</v>
      </c>
    </row>
    <row r="5" spans="1:12">
      <c r="A5" t="s">
        <v>210</v>
      </c>
      <c r="D5">
        <v>3.5999999999999997E-2</v>
      </c>
      <c r="E5">
        <v>100</v>
      </c>
      <c r="F5" s="1806" t="s">
        <v>585</v>
      </c>
      <c r="L5" s="1832">
        <f>ROUND(K3*D5,2)</f>
        <v>0.12</v>
      </c>
    </row>
    <row r="6" spans="1:12">
      <c r="A6" t="s">
        <v>694</v>
      </c>
      <c r="D6">
        <v>3.1E-2</v>
      </c>
      <c r="E6">
        <v>15</v>
      </c>
      <c r="F6" s="1806" t="s">
        <v>696</v>
      </c>
      <c r="L6" s="1832">
        <f>ROUND(K3*D6,2)</f>
        <v>0.1</v>
      </c>
    </row>
    <row r="7" spans="1:12">
      <c r="F7" s="1806"/>
      <c r="L7" s="1832">
        <f>ROUND(K3*D7,2)</f>
        <v>0</v>
      </c>
    </row>
    <row r="8" spans="1:12" ht="16.5" thickBot="1">
      <c r="A8" s="646"/>
      <c r="B8" s="646"/>
      <c r="C8" s="646"/>
      <c r="D8" s="646"/>
      <c r="E8" s="646"/>
      <c r="F8" s="1807"/>
    </row>
    <row r="9" spans="1:12" ht="16.5" thickTop="1">
      <c r="A9" s="536" t="s">
        <v>4453</v>
      </c>
      <c r="B9" s="536"/>
      <c r="C9" s="536"/>
      <c r="D9" s="536"/>
      <c r="E9" s="536"/>
      <c r="F9" s="1808"/>
      <c r="H9" s="1302">
        <f>IF('Outil simplifié'!$D$10=Liste!$B$4,0.25,0.17)</f>
        <v>0.17</v>
      </c>
      <c r="I9" s="1302">
        <f>0.13+0.04</f>
        <v>0.17</v>
      </c>
      <c r="J9" s="1302">
        <f>1/2</f>
        <v>0.5</v>
      </c>
      <c r="K9" s="1833">
        <f>1/H9-J9-I9</f>
        <v>5.2123529411764702</v>
      </c>
    </row>
    <row r="10" spans="1:12">
      <c r="A10" s="978" t="s">
        <v>694</v>
      </c>
      <c r="B10" s="978"/>
      <c r="C10" s="978"/>
      <c r="D10" s="978">
        <v>3.1E-2</v>
      </c>
      <c r="E10" s="978">
        <v>16</v>
      </c>
      <c r="F10" s="1805" t="s">
        <v>696</v>
      </c>
      <c r="L10" s="1832">
        <f>ROUNDUP(K9*D10,2)</f>
        <v>0.17</v>
      </c>
    </row>
    <row r="11" spans="1:12">
      <c r="A11" t="s">
        <v>697</v>
      </c>
      <c r="D11">
        <v>3.4000000000000002E-2</v>
      </c>
      <c r="E11">
        <v>80</v>
      </c>
      <c r="F11" s="1806" t="s">
        <v>699</v>
      </c>
      <c r="L11" s="1832">
        <f>ROUND(K9*D11,2)</f>
        <v>0.18</v>
      </c>
    </row>
    <row r="12" spans="1:12">
      <c r="A12" t="s">
        <v>702</v>
      </c>
      <c r="D12">
        <v>3.2000000000000001E-2</v>
      </c>
      <c r="E12">
        <v>38</v>
      </c>
      <c r="F12" s="1806" t="s">
        <v>742</v>
      </c>
      <c r="L12" s="1832">
        <f>ROUND(K9*D12,2)</f>
        <v>0.17</v>
      </c>
    </row>
    <row r="13" spans="1:12">
      <c r="A13" t="s">
        <v>210</v>
      </c>
      <c r="D13">
        <v>3.5999999999999997E-2</v>
      </c>
      <c r="E13">
        <v>100</v>
      </c>
      <c r="F13" s="1806">
        <v>10.007</v>
      </c>
      <c r="L13" s="1832">
        <f>ROUND(K9*D13,2)</f>
        <v>0.19</v>
      </c>
    </row>
    <row r="14" spans="1:12" ht="16.5" thickBot="1">
      <c r="A14" s="646"/>
      <c r="B14" s="646"/>
      <c r="C14" s="646"/>
      <c r="D14" s="646"/>
      <c r="E14" s="646"/>
      <c r="F14" s="1807"/>
    </row>
    <row r="15" spans="1:12" ht="16.5" thickTop="1">
      <c r="A15" s="536" t="s">
        <v>4454</v>
      </c>
      <c r="B15" s="536"/>
      <c r="C15" s="536"/>
      <c r="D15" s="536"/>
      <c r="E15" s="536"/>
      <c r="F15" s="1808"/>
      <c r="H15" s="1302">
        <f>IF('Outil simplifié'!$D$10=Liste!$B$4,0.25,0.17)</f>
        <v>0.17</v>
      </c>
      <c r="I15" s="1302">
        <f>0.13+0.04</f>
        <v>0.17</v>
      </c>
      <c r="J15" s="1302">
        <f>1/2</f>
        <v>0.5</v>
      </c>
      <c r="K15" s="1833">
        <f>1/H15-J15-I15</f>
        <v>5.2123529411764702</v>
      </c>
    </row>
    <row r="16" spans="1:12">
      <c r="A16" s="978" t="str">
        <f>A10</f>
        <v>EPS</v>
      </c>
      <c r="B16" s="978"/>
      <c r="C16" s="978"/>
      <c r="D16" s="978">
        <v>3.1E-2</v>
      </c>
      <c r="E16" s="978">
        <v>16</v>
      </c>
      <c r="F16" s="1805" t="s">
        <v>696</v>
      </c>
      <c r="L16" s="1832">
        <f>ROUNDUP(K15*D16,2)</f>
        <v>0.17</v>
      </c>
    </row>
    <row r="17" spans="1:12">
      <c r="A17" t="str">
        <f>A11</f>
        <v>Laine de roche</v>
      </c>
      <c r="D17">
        <v>3.4000000000000002E-2</v>
      </c>
      <c r="E17">
        <v>48</v>
      </c>
      <c r="F17" s="1806" t="s">
        <v>699</v>
      </c>
      <c r="L17" s="1832">
        <f>ROUND(K15*D17,2)</f>
        <v>0.18</v>
      </c>
    </row>
    <row r="18" spans="1:12">
      <c r="A18" t="str">
        <f>A12</f>
        <v>Laine de verre</v>
      </c>
      <c r="D18">
        <v>3.2000000000000001E-2</v>
      </c>
      <c r="E18">
        <v>38</v>
      </c>
      <c r="F18" s="1806" t="s">
        <v>742</v>
      </c>
      <c r="L18" s="1832">
        <f>ROUND(K15*D18,2)</f>
        <v>0.17</v>
      </c>
    </row>
    <row r="19" spans="1:12">
      <c r="A19" t="s">
        <v>210</v>
      </c>
      <c r="D19">
        <v>3.5999999999999997E-2</v>
      </c>
      <c r="E19">
        <v>100</v>
      </c>
      <c r="F19" s="1806">
        <v>10.007</v>
      </c>
      <c r="L19" s="1832">
        <f>ROUND(K15*D19,2)</f>
        <v>0.19</v>
      </c>
    </row>
    <row r="20" spans="1:12" ht="16.5" thickBot="1">
      <c r="A20" s="646"/>
      <c r="B20" s="646"/>
      <c r="C20" s="646"/>
      <c r="D20" s="646"/>
      <c r="E20" s="646"/>
      <c r="F20" s="1807"/>
    </row>
    <row r="21" spans="1:12" ht="16.5" thickTop="1">
      <c r="A21" s="536" t="s">
        <v>4029</v>
      </c>
      <c r="B21" s="536"/>
      <c r="C21" s="536"/>
      <c r="D21" s="536"/>
      <c r="E21" s="536"/>
      <c r="F21" s="1808"/>
      <c r="H21" s="1302">
        <f>IF('Outil simplifié'!$D$10=Liste!$B$4,0.25,0.17)</f>
        <v>0.17</v>
      </c>
      <c r="I21" s="1302">
        <f>0.13+0.04</f>
        <v>0.17</v>
      </c>
      <c r="J21" s="1302">
        <f>1/2</f>
        <v>0.5</v>
      </c>
      <c r="K21" s="1833">
        <f>1/H21-J21-I21</f>
        <v>5.2123529411764702</v>
      </c>
    </row>
    <row r="22" spans="1:12">
      <c r="A22" s="978" t="str">
        <f>A16</f>
        <v>EPS</v>
      </c>
      <c r="B22" s="978"/>
      <c r="C22" s="978"/>
      <c r="D22" s="978">
        <v>3.1E-2</v>
      </c>
      <c r="E22" s="978">
        <v>16</v>
      </c>
      <c r="F22" s="1805" t="s">
        <v>696</v>
      </c>
      <c r="L22" s="1832">
        <f>ROUNDUP(K21*D22,2)</f>
        <v>0.17</v>
      </c>
    </row>
    <row r="23" spans="1:12">
      <c r="A23" t="str">
        <f>A17</f>
        <v>Laine de roche</v>
      </c>
      <c r="D23">
        <v>3.4000000000000002E-2</v>
      </c>
      <c r="E23">
        <v>80</v>
      </c>
      <c r="F23" s="1806" t="s">
        <v>699</v>
      </c>
      <c r="L23" s="1832">
        <f>ROUND(K21*D23,2)</f>
        <v>0.18</v>
      </c>
    </row>
    <row r="24" spans="1:12">
      <c r="A24" t="s">
        <v>781</v>
      </c>
      <c r="D24">
        <v>3.2000000000000001E-2</v>
      </c>
      <c r="E24">
        <v>215</v>
      </c>
      <c r="F24" s="1806" t="s">
        <v>2119</v>
      </c>
      <c r="L24" s="1832">
        <f>ROUND(K21*D24,2)</f>
        <v>0.17</v>
      </c>
    </row>
    <row r="25" spans="1:12">
      <c r="A25" t="s">
        <v>210</v>
      </c>
      <c r="D25">
        <v>3.5999999999999997E-2</v>
      </c>
      <c r="E25">
        <v>100</v>
      </c>
      <c r="F25" s="1806">
        <v>10.007</v>
      </c>
      <c r="L25" s="1832">
        <f>ROUND(K21*D25,2)</f>
        <v>0.19</v>
      </c>
    </row>
    <row r="26" spans="1:12" ht="16.5" thickBot="1">
      <c r="A26" s="646"/>
      <c r="B26" s="646"/>
      <c r="C26" s="646"/>
      <c r="D26" s="646"/>
      <c r="E26" s="646"/>
      <c r="F26" s="1807"/>
    </row>
    <row r="27" spans="1:12" ht="16.5" thickTop="1">
      <c r="A27" s="1809" t="s">
        <v>4424</v>
      </c>
      <c r="B27" s="1809"/>
      <c r="C27" s="1809"/>
      <c r="D27" s="1809"/>
      <c r="E27" s="1809"/>
      <c r="F27" s="1810"/>
      <c r="H27" s="1302">
        <f>IF('Outil simplifié'!$D$10=Liste!$B$4,0.25,0.17)</f>
        <v>0.17</v>
      </c>
      <c r="I27" s="1302">
        <f>0.13+0.04</f>
        <v>0.17</v>
      </c>
      <c r="J27" s="1302">
        <f>1/2</f>
        <v>0.5</v>
      </c>
      <c r="K27" s="1833">
        <f>1/H27-J27-I27</f>
        <v>5.2123529411764702</v>
      </c>
    </row>
    <row r="28" spans="1:12">
      <c r="A28" t="s">
        <v>208</v>
      </c>
      <c r="D28">
        <v>2.9000000000000001E-2</v>
      </c>
      <c r="E28" s="1813">
        <v>35</v>
      </c>
      <c r="F28" s="1806" t="s">
        <v>581</v>
      </c>
      <c r="L28" s="1832">
        <f>ROUNDUP(K27*D28,2)</f>
        <v>0.16</v>
      </c>
    </row>
    <row r="29" spans="1:12">
      <c r="A29" t="s">
        <v>694</v>
      </c>
      <c r="D29">
        <v>3.1E-2</v>
      </c>
      <c r="E29">
        <v>15</v>
      </c>
      <c r="F29" s="1806" t="s">
        <v>696</v>
      </c>
      <c r="L29" s="1832">
        <f>ROUND(K27*D29,2)</f>
        <v>0.16</v>
      </c>
    </row>
    <row r="30" spans="1:12">
      <c r="A30" t="s">
        <v>697</v>
      </c>
      <c r="D30">
        <v>3.4000000000000002E-2</v>
      </c>
      <c r="E30">
        <v>48</v>
      </c>
      <c r="F30" s="1806" t="s">
        <v>699</v>
      </c>
      <c r="L30" s="1832">
        <f>ROUND(K27*D30,2)</f>
        <v>0.18</v>
      </c>
    </row>
    <row r="31" spans="1:12">
      <c r="A31" t="s">
        <v>702</v>
      </c>
      <c r="D31">
        <v>3.2000000000000001E-2</v>
      </c>
      <c r="E31">
        <v>32</v>
      </c>
      <c r="F31" s="1806" t="s">
        <v>704</v>
      </c>
      <c r="L31" s="1832">
        <f>ROUND(K27*D31,2)</f>
        <v>0.17</v>
      </c>
    </row>
    <row r="32" spans="1:12">
      <c r="A32" t="s">
        <v>210</v>
      </c>
      <c r="D32">
        <v>3.5999999999999997E-2</v>
      </c>
      <c r="E32">
        <v>100</v>
      </c>
      <c r="F32" s="1806">
        <v>10.007</v>
      </c>
      <c r="L32" s="1832">
        <f>ROUND(K27*D32,2)</f>
        <v>0.19</v>
      </c>
    </row>
    <row r="33" spans="1:12" ht="16.5" thickBot="1">
      <c r="A33" s="646"/>
      <c r="B33" s="646"/>
      <c r="C33" s="646"/>
      <c r="D33" s="646"/>
      <c r="E33" s="646"/>
      <c r="F33" s="1807"/>
    </row>
    <row r="34" spans="1:12" ht="16.5" thickTop="1">
      <c r="A34" s="1809" t="s">
        <v>4455</v>
      </c>
      <c r="B34" s="1809"/>
      <c r="C34" s="1809"/>
      <c r="D34" s="1809"/>
      <c r="E34" s="1809"/>
      <c r="F34" s="1810"/>
    </row>
    <row r="35" spans="1:12" ht="16.5" thickBot="1">
      <c r="A35" s="646"/>
      <c r="B35" s="646"/>
      <c r="C35" s="646"/>
      <c r="D35" s="646"/>
      <c r="E35" s="646"/>
      <c r="F35" s="1807"/>
    </row>
    <row r="36" spans="1:12" ht="16.5" thickTop="1">
      <c r="A36" s="536" t="s">
        <v>4479</v>
      </c>
      <c r="B36" s="536"/>
      <c r="C36" s="536"/>
      <c r="D36" s="536"/>
      <c r="E36" s="536"/>
      <c r="F36" s="1808"/>
      <c r="H36" s="1302">
        <f>IF('Outil simplifié'!$D$10=Liste!$B$4,0.28,0.25)</f>
        <v>0.25</v>
      </c>
      <c r="I36" s="1302">
        <f>0.13+0.04</f>
        <v>0.17</v>
      </c>
      <c r="J36" s="1302">
        <f>1/2</f>
        <v>0.5</v>
      </c>
      <c r="K36" s="1833">
        <f>1/H36-J36-I36</f>
        <v>3.33</v>
      </c>
    </row>
    <row r="37" spans="1:12">
      <c r="A37" s="978" t="str">
        <f>A30</f>
        <v>Laine de roche</v>
      </c>
      <c r="B37" s="978"/>
      <c r="C37" s="978"/>
      <c r="D37" s="978">
        <v>3.1E-2</v>
      </c>
      <c r="E37" s="978">
        <v>16</v>
      </c>
      <c r="F37" s="1805" t="s">
        <v>696</v>
      </c>
      <c r="L37" s="1832">
        <f>ROUNDUP(K36*D37,2)</f>
        <v>0.11</v>
      </c>
    </row>
    <row r="38" spans="1:12">
      <c r="A38" t="str">
        <f>A31</f>
        <v>Laine de verre</v>
      </c>
      <c r="D38">
        <v>3.4000000000000002E-2</v>
      </c>
      <c r="E38">
        <v>80</v>
      </c>
      <c r="F38" s="1806" t="s">
        <v>699</v>
      </c>
      <c r="L38" s="1832">
        <f>ROUND(K36*D38,2)</f>
        <v>0.11</v>
      </c>
    </row>
    <row r="39" spans="1:12">
      <c r="A39" t="s">
        <v>781</v>
      </c>
      <c r="D39">
        <v>3.2000000000000001E-2</v>
      </c>
      <c r="E39">
        <v>215</v>
      </c>
      <c r="F39" s="1806" t="s">
        <v>2119</v>
      </c>
      <c r="L39" s="1832">
        <f>ROUND(K36*D39,2)</f>
        <v>0.11</v>
      </c>
    </row>
    <row r="40" spans="1:12">
      <c r="A40" t="s">
        <v>210</v>
      </c>
      <c r="D40">
        <v>3.5999999999999997E-2</v>
      </c>
      <c r="E40">
        <v>100</v>
      </c>
      <c r="F40" s="1806">
        <v>10.007</v>
      </c>
      <c r="L40" s="1832">
        <f>ROUND(K36*D40,2)</f>
        <v>0.12</v>
      </c>
    </row>
    <row r="41" spans="1:12">
      <c r="A41" s="978"/>
      <c r="B41" s="978"/>
      <c r="C41" s="978"/>
      <c r="D41" s="978"/>
      <c r="E41" s="978"/>
      <c r="F41" s="1805"/>
    </row>
    <row r="42" spans="1:12" ht="16.5" thickBot="1">
      <c r="A42" s="646"/>
      <c r="B42" s="646"/>
      <c r="C42" s="646"/>
      <c r="D42" s="646"/>
      <c r="E42" s="646"/>
      <c r="F42" s="1807"/>
    </row>
    <row r="43" spans="1:12" ht="16.5" thickTop="1">
      <c r="A43" s="1809"/>
      <c r="B43" s="1809" t="s">
        <v>4448</v>
      </c>
      <c r="C43" s="1809" t="s">
        <v>4449</v>
      </c>
      <c r="D43" s="1809" t="s">
        <v>4448</v>
      </c>
      <c r="E43" s="1809" t="s">
        <v>4449</v>
      </c>
      <c r="F43" s="1809"/>
    </row>
    <row r="44" spans="1:12">
      <c r="A44" s="1809" t="s">
        <v>541</v>
      </c>
      <c r="B44" s="1809" t="s">
        <v>4450</v>
      </c>
      <c r="C44" s="1809" t="s">
        <v>4451</v>
      </c>
      <c r="D44" s="1809" t="s">
        <v>4450</v>
      </c>
      <c r="E44" s="1809" t="s">
        <v>4451</v>
      </c>
      <c r="F44" s="1810"/>
    </row>
    <row r="45" spans="1:12">
      <c r="A45" s="978" t="s">
        <v>208</v>
      </c>
      <c r="B45" t="s">
        <v>4456</v>
      </c>
      <c r="C45" t="s">
        <v>4457</v>
      </c>
      <c r="D45" s="978">
        <v>2.9000000000000001E-2</v>
      </c>
      <c r="E45" s="978">
        <v>35</v>
      </c>
      <c r="F45" s="1811" t="s">
        <v>581</v>
      </c>
    </row>
    <row r="46" spans="1:12">
      <c r="A46" t="s">
        <v>694</v>
      </c>
      <c r="B46" t="s">
        <v>4458</v>
      </c>
      <c r="C46" t="s">
        <v>4459</v>
      </c>
      <c r="D46">
        <v>3.4000000000000002E-2</v>
      </c>
      <c r="E46">
        <v>15</v>
      </c>
      <c r="F46" s="1812" t="s">
        <v>696</v>
      </c>
    </row>
    <row r="47" spans="1:12">
      <c r="A47" t="s">
        <v>4460</v>
      </c>
      <c r="B47" t="s">
        <v>4458</v>
      </c>
      <c r="C47" t="s">
        <v>4459</v>
      </c>
      <c r="D47">
        <v>3.4000000000000002E-2</v>
      </c>
      <c r="E47">
        <v>15</v>
      </c>
      <c r="F47" s="1812" t="s">
        <v>696</v>
      </c>
    </row>
    <row r="48" spans="1:12">
      <c r="A48" t="s">
        <v>777</v>
      </c>
      <c r="B48" t="s">
        <v>4461</v>
      </c>
      <c r="C48" t="s">
        <v>4462</v>
      </c>
      <c r="D48">
        <v>2.7E-2</v>
      </c>
      <c r="E48">
        <v>30</v>
      </c>
      <c r="F48" s="1812" t="s">
        <v>780</v>
      </c>
    </row>
    <row r="49" spans="1:6">
      <c r="A49" t="s">
        <v>4463</v>
      </c>
      <c r="B49" t="s">
        <v>4464</v>
      </c>
      <c r="C49" t="s">
        <v>4465</v>
      </c>
      <c r="D49">
        <v>3.7999999999999999E-2</v>
      </c>
      <c r="E49">
        <v>120</v>
      </c>
      <c r="F49" s="1812" t="s">
        <v>699</v>
      </c>
    </row>
    <row r="50" spans="1:6">
      <c r="A50" t="s">
        <v>4463</v>
      </c>
      <c r="B50" t="s">
        <v>4464</v>
      </c>
      <c r="C50" t="s">
        <v>4465</v>
      </c>
      <c r="D50">
        <v>3.5000000000000003E-2</v>
      </c>
      <c r="E50">
        <v>38</v>
      </c>
      <c r="F50" s="1812" t="s">
        <v>699</v>
      </c>
    </row>
    <row r="51" spans="1:6">
      <c r="A51" t="s">
        <v>702</v>
      </c>
      <c r="B51" t="s">
        <v>4466</v>
      </c>
      <c r="C51" t="s">
        <v>4467</v>
      </c>
      <c r="D51">
        <v>3.1E-2</v>
      </c>
      <c r="E51">
        <v>32</v>
      </c>
      <c r="F51" s="1812" t="s">
        <v>704</v>
      </c>
    </row>
    <row r="52" spans="1:6">
      <c r="A52" t="s">
        <v>210</v>
      </c>
      <c r="B52" t="s">
        <v>4468</v>
      </c>
      <c r="C52" t="s">
        <v>4469</v>
      </c>
      <c r="D52">
        <v>3.5999999999999997E-2</v>
      </c>
      <c r="E52">
        <v>100</v>
      </c>
      <c r="F52" s="1812" t="s">
        <v>585</v>
      </c>
    </row>
    <row r="53" spans="1:6">
      <c r="A53" t="s">
        <v>4470</v>
      </c>
      <c r="B53" t="s">
        <v>4471</v>
      </c>
      <c r="C53" t="s">
        <v>4472</v>
      </c>
      <c r="D53">
        <v>3.7999999999999999E-2</v>
      </c>
      <c r="E53">
        <v>110</v>
      </c>
      <c r="F53" s="1812" t="s">
        <v>2126</v>
      </c>
    </row>
    <row r="54" spans="1:6">
      <c r="A54" t="s">
        <v>4473</v>
      </c>
      <c r="B54" t="s">
        <v>4474</v>
      </c>
      <c r="C54" t="s">
        <v>4475</v>
      </c>
      <c r="D54">
        <v>3.5999999999999997E-2</v>
      </c>
      <c r="E54">
        <v>30</v>
      </c>
      <c r="F54" s="25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2DA30-B28B-4E74-AEF6-97BDE5CA671F}">
  <sheetPr>
    <tabColor theme="5"/>
  </sheetPr>
  <dimension ref="A1:H28"/>
  <sheetViews>
    <sheetView workbookViewId="0"/>
  </sheetViews>
  <sheetFormatPr baseColWidth="10" defaultRowHeight="15.75"/>
  <sheetData>
    <row r="1" spans="1:8">
      <c r="A1" t="s">
        <v>4074</v>
      </c>
    </row>
    <row r="6" spans="1:8">
      <c r="A6">
        <v>1</v>
      </c>
      <c r="B6" t="s">
        <v>4075</v>
      </c>
      <c r="E6" t="s">
        <v>4076</v>
      </c>
      <c r="H6" t="s">
        <v>4077</v>
      </c>
    </row>
    <row r="7" spans="1:8">
      <c r="B7" t="s">
        <v>4078</v>
      </c>
    </row>
    <row r="8" spans="1:8">
      <c r="B8" t="s">
        <v>4079</v>
      </c>
    </row>
    <row r="9" spans="1:8">
      <c r="B9" t="s">
        <v>4080</v>
      </c>
    </row>
    <row r="10" spans="1:8">
      <c r="B10" t="s">
        <v>4081</v>
      </c>
    </row>
    <row r="11" spans="1:8">
      <c r="B11" t="s">
        <v>4082</v>
      </c>
    </row>
    <row r="12" spans="1:8">
      <c r="B12" t="s">
        <v>4083</v>
      </c>
    </row>
    <row r="13" spans="1:8">
      <c r="B13" t="s">
        <v>4084</v>
      </c>
    </row>
    <row r="14" spans="1:8">
      <c r="B14" t="s">
        <v>4085</v>
      </c>
    </row>
    <row r="15" spans="1:8">
      <c r="B15" t="s">
        <v>4086</v>
      </c>
    </row>
    <row r="16" spans="1:8">
      <c r="B16" t="s">
        <v>254</v>
      </c>
    </row>
    <row r="17" spans="1:8">
      <c r="B17" t="s">
        <v>4087</v>
      </c>
    </row>
    <row r="19" spans="1:8">
      <c r="B19" s="1269" t="s">
        <v>4088</v>
      </c>
      <c r="D19" s="1272" t="s">
        <v>4089</v>
      </c>
      <c r="E19" t="s">
        <v>4090</v>
      </c>
      <c r="G19" t="s">
        <v>4091</v>
      </c>
    </row>
    <row r="21" spans="1:8">
      <c r="A21">
        <v>2</v>
      </c>
      <c r="B21" t="s">
        <v>4092</v>
      </c>
      <c r="H21" s="1272" t="s">
        <v>4093</v>
      </c>
    </row>
    <row r="22" spans="1:8">
      <c r="B22" t="s">
        <v>199</v>
      </c>
      <c r="D22" s="1272"/>
    </row>
    <row r="23" spans="1:8">
      <c r="D23" s="1272" t="s">
        <v>4094</v>
      </c>
    </row>
    <row r="24" spans="1:8">
      <c r="D24" t="s">
        <v>4095</v>
      </c>
    </row>
    <row r="26" spans="1:8">
      <c r="A26">
        <v>3</v>
      </c>
      <c r="B26" t="s">
        <v>4096</v>
      </c>
    </row>
    <row r="27" spans="1:8">
      <c r="B27" t="s">
        <v>4078</v>
      </c>
      <c r="D27" s="1272" t="s">
        <v>4097</v>
      </c>
    </row>
    <row r="28" spans="1:8">
      <c r="B28" t="s">
        <v>4098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2567-E3B1-4DBB-A885-62952C4D161A}">
  <sheetPr codeName="Feuil12">
    <tabColor theme="5"/>
    <pageSetUpPr autoPageBreaks="0" fitToPage="1"/>
  </sheetPr>
  <dimension ref="B1:Q95"/>
  <sheetViews>
    <sheetView topLeftCell="A4" workbookViewId="0">
      <selection activeCell="H7" sqref="H7"/>
    </sheetView>
  </sheetViews>
  <sheetFormatPr baseColWidth="10" defaultColWidth="11.25" defaultRowHeight="15.75" outlineLevelCol="2"/>
  <cols>
    <col min="1" max="1" width="11.25" style="151"/>
    <col min="2" max="2" width="11.75" style="1028" customWidth="1"/>
    <col min="3" max="3" width="10.5" style="798" customWidth="1"/>
    <col min="4" max="4" width="37.125" style="1561" customWidth="1"/>
    <col min="5" max="5" width="18.625" style="151" hidden="1" customWidth="1" outlineLevel="1"/>
    <col min="6" max="6" width="32.375" style="151" customWidth="1" collapsed="1"/>
    <col min="7" max="7" width="59.75" style="151" customWidth="1" outlineLevel="1"/>
    <col min="8" max="8" width="30.75" style="151" customWidth="1" outlineLevel="1"/>
    <col min="9" max="9" width="19.125" style="151" customWidth="1"/>
    <col min="10" max="10" width="8.125" style="151" customWidth="1"/>
    <col min="11" max="11" width="12.25" style="151" bestFit="1" customWidth="1"/>
    <col min="12" max="12" width="11.25" style="151" hidden="1" customWidth="1" outlineLevel="1"/>
    <col min="13" max="13" width="12.25" style="151" hidden="1" customWidth="1" outlineLevel="1"/>
    <col min="14" max="14" width="18.375" style="151" customWidth="1" collapsed="1"/>
    <col min="15" max="15" width="18.375" style="151" hidden="1" customWidth="1" outlineLevel="1"/>
    <col min="16" max="16" width="14.5" style="151" hidden="1" customWidth="1" outlineLevel="2"/>
    <col min="17" max="17" width="11.25" style="151" collapsed="1"/>
    <col min="18" max="16384" width="11.25" style="151"/>
  </cols>
  <sheetData>
    <row r="1" spans="2:16" ht="40.5" customHeight="1">
      <c r="B1" s="894" t="s">
        <v>387</v>
      </c>
      <c r="C1" s="894"/>
      <c r="D1" s="1558"/>
      <c r="E1" s="894"/>
      <c r="F1" s="894"/>
      <c r="G1" s="894"/>
      <c r="H1" s="894"/>
      <c r="I1" s="894"/>
      <c r="J1" s="894"/>
      <c r="K1" s="894"/>
      <c r="L1" s="894"/>
      <c r="M1" s="894"/>
      <c r="N1" s="894"/>
      <c r="O1" s="1463"/>
    </row>
    <row r="2" spans="2:16" ht="31.5" customHeight="1">
      <c r="B2" s="1856" t="s">
        <v>388</v>
      </c>
      <c r="C2" s="1856"/>
      <c r="D2" s="1559" t="str">
        <f>'Outil simplifié'!D4</f>
        <v>Exemple</v>
      </c>
      <c r="E2" s="258"/>
      <c r="F2" s="258"/>
      <c r="G2" s="258"/>
      <c r="H2" s="258"/>
      <c r="I2" s="258"/>
      <c r="J2" s="258" t="s">
        <v>389</v>
      </c>
      <c r="K2" s="258"/>
      <c r="L2" s="258"/>
      <c r="M2" s="258"/>
      <c r="N2" s="1076">
        <f ca="1">'Outil simplifié'!M4</f>
        <v>45897</v>
      </c>
      <c r="O2" s="1076"/>
    </row>
    <row r="3" spans="2:16" ht="16.5" thickBot="1">
      <c r="B3" s="1029"/>
      <c r="C3" s="661"/>
      <c r="D3" s="1559"/>
      <c r="E3" s="258"/>
      <c r="F3" s="258"/>
      <c r="G3" s="258"/>
      <c r="H3" s="258"/>
      <c r="I3" s="258"/>
      <c r="J3" s="258"/>
      <c r="K3" s="258"/>
      <c r="L3" s="258"/>
      <c r="M3" s="258"/>
      <c r="N3" s="258"/>
      <c r="O3" s="258"/>
    </row>
    <row r="4" spans="2:16" ht="67.5" customHeight="1" thickBot="1">
      <c r="B4" s="1027" t="s">
        <v>390</v>
      </c>
      <c r="C4" s="799" t="s">
        <v>391</v>
      </c>
      <c r="D4" s="1432" t="s">
        <v>392</v>
      </c>
      <c r="E4" s="681" t="s">
        <v>3973</v>
      </c>
      <c r="F4" s="681" t="s">
        <v>4071</v>
      </c>
      <c r="G4" s="1432" t="s">
        <v>4070</v>
      </c>
      <c r="H4" s="679" t="s">
        <v>394</v>
      </c>
      <c r="I4" s="679" t="s">
        <v>395</v>
      </c>
      <c r="J4" s="680" t="s">
        <v>396</v>
      </c>
      <c r="K4" s="681" t="s">
        <v>4073</v>
      </c>
      <c r="L4" s="1432" t="s">
        <v>393</v>
      </c>
      <c r="M4" s="679" t="s">
        <v>4072</v>
      </c>
      <c r="N4" s="681" t="s">
        <v>4068</v>
      </c>
      <c r="O4" s="681" t="s">
        <v>4069</v>
      </c>
      <c r="P4" s="1031" t="s">
        <v>397</v>
      </c>
    </row>
    <row r="5" spans="2:16" ht="15.75" customHeight="1">
      <c r="B5" s="1860" t="s">
        <v>398</v>
      </c>
      <c r="C5" s="1864" t="s">
        <v>399</v>
      </c>
      <c r="D5" s="676" t="s">
        <v>400</v>
      </c>
      <c r="E5" s="642"/>
      <c r="F5" s="635"/>
      <c r="G5" s="676"/>
      <c r="H5" s="636"/>
      <c r="I5" s="637"/>
      <c r="J5" s="638"/>
      <c r="K5" s="642"/>
      <c r="L5" s="1433"/>
      <c r="M5" s="638"/>
      <c r="N5" s="642"/>
      <c r="O5" s="642"/>
      <c r="P5" s="642"/>
    </row>
    <row r="6" spans="2:16">
      <c r="B6" s="1861"/>
      <c r="C6" s="1858"/>
      <c r="D6" s="1419" t="s">
        <v>401</v>
      </c>
      <c r="E6" s="1607"/>
      <c r="F6" s="1470" t="str">
        <f>IF(H6=0, G6, H6)</f>
        <v>Aushub / Excavation</v>
      </c>
      <c r="G6" s="1419" t="str">
        <f>'Travaux préparatoires'!A4</f>
        <v>Aushub / Excavation</v>
      </c>
      <c r="H6" s="164"/>
      <c r="I6" s="297" t="s">
        <v>402</v>
      </c>
      <c r="J6" s="1423" t="s">
        <v>269</v>
      </c>
      <c r="K6" s="1441">
        <f>IF(ISBLANK(M6), L6, M6)</f>
        <v>500.34501033599196</v>
      </c>
      <c r="L6" s="1420">
        <f>Hypothèses!D35</f>
        <v>500.34501033599196</v>
      </c>
      <c r="M6" s="696"/>
      <c r="N6" s="794">
        <f>_xlfn.XLOOKUP(D6,Décomposition!D:D,Décomposition!T:T)</f>
        <v>18.006166059466512</v>
      </c>
      <c r="O6" s="794">
        <f t="shared" ref="O6:O68" si="0">N6/60</f>
        <v>0.30010276765777522</v>
      </c>
      <c r="P6" s="670">
        <f>_xlfn.XMATCH(D6,Décomposition!D:D)</f>
        <v>5</v>
      </c>
    </row>
    <row r="7" spans="2:16">
      <c r="B7" s="1861"/>
      <c r="C7" s="1858"/>
      <c r="D7" s="1419" t="s">
        <v>403</v>
      </c>
      <c r="E7" s="1608">
        <v>0</v>
      </c>
      <c r="F7" s="1470">
        <f>IF(H7=0, G7, H7)</f>
        <v>0</v>
      </c>
      <c r="G7" s="1419">
        <f>IF('Outil simplifié'!D28=Liste!B9,'Travaux préparatoires'!$A$10, 0)</f>
        <v>0</v>
      </c>
      <c r="H7" s="163"/>
      <c r="I7" s="297" t="s">
        <v>404</v>
      </c>
      <c r="J7" s="1423" t="s">
        <v>87</v>
      </c>
      <c r="K7" s="1441">
        <f>IF(ISBLANK(M7), L7, M7)</f>
        <v>153.6</v>
      </c>
      <c r="L7" s="1420">
        <f>(Hypothèses!D18*'Outil simplifié'!D17*Hypothèses!D32)+((Hypothèses!D18*'Outil simplifié'!D17*Hypothèses!D32)*20%)</f>
        <v>153.6</v>
      </c>
      <c r="M7" s="696"/>
      <c r="N7" s="794">
        <f>_xlfn.XLOOKUP(D7,Décomposition!D:D,Décomposition!T:T)</f>
        <v>0</v>
      </c>
      <c r="O7" s="794">
        <f t="shared" si="0"/>
        <v>0</v>
      </c>
      <c r="P7" s="670">
        <f>_xlfn.XMATCH(D7,Décomposition!D:D)</f>
        <v>8</v>
      </c>
    </row>
    <row r="8" spans="2:16">
      <c r="B8" s="1861"/>
      <c r="C8" s="1858"/>
      <c r="D8" s="1419" t="s">
        <v>405</v>
      </c>
      <c r="E8" s="1608"/>
      <c r="F8" s="1470">
        <f>IF(H8=0, G8, H8)</f>
        <v>0</v>
      </c>
      <c r="G8" s="1419">
        <f>IF('Outil simplifié'!D29=Liste!C10,'Travaux préparatoires'!A23, 0)</f>
        <v>0</v>
      </c>
      <c r="H8" s="163"/>
      <c r="I8" s="529" t="s">
        <v>169</v>
      </c>
      <c r="J8" s="1423" t="s">
        <v>87</v>
      </c>
      <c r="K8" s="1441">
        <f t="shared" ref="K8:K69" si="1">IF(ISBLANK(M8), L8, M8)</f>
        <v>80</v>
      </c>
      <c r="L8" s="1420">
        <f>IF('Outil simplifié'!D17=0, Hypothèses!D12, Hypothèses!D23)</f>
        <v>80</v>
      </c>
      <c r="M8" s="696"/>
      <c r="N8" s="794">
        <f>_xlfn.XLOOKUP(D8,Décomposition!D:D,Décomposition!T:T)</f>
        <v>0</v>
      </c>
      <c r="O8" s="794">
        <f t="shared" si="0"/>
        <v>0</v>
      </c>
      <c r="P8" s="670">
        <f>_xlfn.XMATCH(D8,Décomposition!D:D)</f>
        <v>10</v>
      </c>
    </row>
    <row r="9" spans="2:16" ht="16.5" thickBot="1">
      <c r="B9" s="1862"/>
      <c r="C9" s="1863"/>
      <c r="D9" s="1466" t="s">
        <v>406</v>
      </c>
      <c r="E9" s="1609"/>
      <c r="F9" s="257" t="str">
        <f>IF(H9=0, G9, H9)</f>
        <v>Remblai</v>
      </c>
      <c r="G9" s="1792" t="s">
        <v>407</v>
      </c>
      <c r="H9" s="807"/>
      <c r="I9" s="700" t="s">
        <v>402</v>
      </c>
      <c r="J9" s="639" t="s">
        <v>269</v>
      </c>
      <c r="K9" s="671">
        <f t="shared" si="1"/>
        <v>126.8</v>
      </c>
      <c r="L9" s="1551">
        <f>Hypothèses!D36</f>
        <v>126.8</v>
      </c>
      <c r="M9" s="697"/>
      <c r="N9" s="794">
        <f>_xlfn.XLOOKUP(D9,Décomposition!D:D,Décomposition!T:T)</f>
        <v>0.34315249999999997</v>
      </c>
      <c r="O9" s="794">
        <f t="shared" si="0"/>
        <v>5.7192083333333331E-3</v>
      </c>
      <c r="P9" s="671">
        <f>_xlfn.XMATCH(D9,Décomposition!D:D)</f>
        <v>12</v>
      </c>
    </row>
    <row r="10" spans="2:16" ht="15.75" customHeight="1">
      <c r="B10" s="1860" t="s">
        <v>408</v>
      </c>
      <c r="C10" s="1864" t="s">
        <v>409</v>
      </c>
      <c r="D10" s="677" t="s">
        <v>410</v>
      </c>
      <c r="E10" s="1610"/>
      <c r="F10" s="663"/>
      <c r="G10" s="677"/>
      <c r="H10" s="268"/>
      <c r="I10" s="664"/>
      <c r="J10" s="662"/>
      <c r="K10" s="663"/>
      <c r="L10" s="677"/>
      <c r="M10" s="662"/>
      <c r="N10" s="663"/>
      <c r="O10" s="663"/>
      <c r="P10" s="1032">
        <f>_xlfn.XMATCH(D10,Décomposition!D:D)</f>
        <v>14</v>
      </c>
    </row>
    <row r="11" spans="2:16">
      <c r="B11" s="1861"/>
      <c r="C11" s="1858"/>
      <c r="D11" s="1419" t="s">
        <v>411</v>
      </c>
      <c r="E11" s="1608"/>
      <c r="F11" s="1470" t="str">
        <f>IF(H11=0, G11, H11)</f>
        <v>non-isolés</v>
      </c>
      <c r="G11" s="1419" t="str">
        <f>'Enveloppe du bâtiment sout.'!A4</f>
        <v>non-isolés</v>
      </c>
      <c r="H11" s="665"/>
      <c r="I11" s="297" t="s">
        <v>404</v>
      </c>
      <c r="J11" s="1423" t="s">
        <v>87</v>
      </c>
      <c r="K11" s="1441">
        <f t="shared" si="1"/>
        <v>53.333333333333329</v>
      </c>
      <c r="L11" s="1420">
        <f>Hypothèses!D37</f>
        <v>53.333333333333329</v>
      </c>
      <c r="M11" s="696"/>
      <c r="N11" s="794">
        <f ca="1">_xlfn.XLOOKUP(D11,Décomposition!D:D,Décomposition!T:T)</f>
        <v>34.382423991507423</v>
      </c>
      <c r="O11" s="794">
        <f t="shared" ca="1" si="0"/>
        <v>0.57304039985845701</v>
      </c>
      <c r="P11" s="670">
        <f>_xlfn.XMATCH(D11,Décomposition!D:D)</f>
        <v>15</v>
      </c>
    </row>
    <row r="12" spans="2:16">
      <c r="B12" s="1861"/>
      <c r="C12" s="1859"/>
      <c r="D12" s="1419" t="s">
        <v>412</v>
      </c>
      <c r="E12" s="1608"/>
      <c r="F12" s="1470" t="str">
        <f>IF(H12=0, G12, H12)</f>
        <v>non-isolés</v>
      </c>
      <c r="G12" s="1793" t="str">
        <f>'Outil simplifié'!$D$30</f>
        <v>non-isolés</v>
      </c>
      <c r="H12" s="166"/>
      <c r="I12" s="297" t="s">
        <v>404</v>
      </c>
      <c r="J12" s="1423" t="s">
        <v>87</v>
      </c>
      <c r="K12" s="1441">
        <f t="shared" si="1"/>
        <v>80</v>
      </c>
      <c r="L12" s="1420">
        <f>Hypothèses!D38</f>
        <v>80</v>
      </c>
      <c r="M12" s="696"/>
      <c r="N12" s="794">
        <f ca="1">_xlfn.XLOOKUP(D12,Décomposition!D:D,Décomposition!T:T)</f>
        <v>51.573635987261156</v>
      </c>
      <c r="O12" s="794">
        <f t="shared" ca="1" si="0"/>
        <v>0.85956059978768595</v>
      </c>
      <c r="P12" s="670">
        <f>_xlfn.XMATCH(D12,Décomposition!D:D)</f>
        <v>23</v>
      </c>
    </row>
    <row r="13" spans="2:16" ht="15.75" customHeight="1">
      <c r="B13" s="1861"/>
      <c r="C13" s="1857" t="s">
        <v>413</v>
      </c>
      <c r="D13" s="1434" t="s">
        <v>414</v>
      </c>
      <c r="E13" s="1611"/>
      <c r="F13" s="1444"/>
      <c r="G13" s="1434"/>
      <c r="H13" s="162"/>
      <c r="I13" s="161"/>
      <c r="J13" s="1427"/>
      <c r="K13" s="1444"/>
      <c r="L13" s="1434"/>
      <c r="M13" s="160"/>
      <c r="N13" s="1444"/>
      <c r="O13" s="1444"/>
      <c r="P13" s="1033">
        <f>_xlfn.XMATCH(D13,Décomposition!D:D)</f>
        <v>31</v>
      </c>
    </row>
    <row r="14" spans="2:16">
      <c r="B14" s="1861"/>
      <c r="C14" s="1859"/>
      <c r="D14" s="1419" t="s">
        <v>415</v>
      </c>
      <c r="E14" s="1608"/>
      <c r="F14" s="1470" t="str">
        <f>IF(H14=0, G14, H14)</f>
        <v>non-isolés</v>
      </c>
      <c r="G14" s="1419" t="str">
        <f>'Outil simplifié'!$D$30</f>
        <v>non-isolés</v>
      </c>
      <c r="H14" s="163"/>
      <c r="I14" s="297" t="s">
        <v>404</v>
      </c>
      <c r="J14" s="1423" t="s">
        <v>87</v>
      </c>
      <c r="K14" s="1441">
        <f t="shared" si="1"/>
        <v>128</v>
      </c>
      <c r="L14" s="1420">
        <f>Hypothèses!D18*'Outil simplifié'!D17*Hypothèses!D32</f>
        <v>128</v>
      </c>
      <c r="M14" s="696"/>
      <c r="N14" s="794">
        <f ca="1">_xlfn.XLOOKUP(D14,Décomposition!D:D,Décomposition!T:T)</f>
        <v>72.884483031847125</v>
      </c>
      <c r="O14" s="794">
        <f t="shared" ca="1" si="0"/>
        <v>1.2147413838641188</v>
      </c>
      <c r="P14" s="670">
        <f>_xlfn.XMATCH(D14,Décomposition!D:D)</f>
        <v>32</v>
      </c>
    </row>
    <row r="15" spans="2:16" ht="15.75" customHeight="1">
      <c r="B15" s="1861"/>
      <c r="C15" s="1857" t="s">
        <v>416</v>
      </c>
      <c r="D15" s="1434" t="s">
        <v>417</v>
      </c>
      <c r="E15" s="1611"/>
      <c r="F15" s="1444"/>
      <c r="G15" s="1434"/>
      <c r="H15" s="162"/>
      <c r="I15" s="161"/>
      <c r="J15" s="1427"/>
      <c r="K15" s="1444"/>
      <c r="L15" s="1434"/>
      <c r="M15" s="160"/>
      <c r="N15" s="1444"/>
      <c r="O15" s="1444"/>
      <c r="P15" s="1033">
        <f>_xlfn.XMATCH(D15,Décomposition!D:D)</f>
        <v>41</v>
      </c>
    </row>
    <row r="16" spans="2:16" ht="16.5" thickBot="1">
      <c r="B16" s="1862"/>
      <c r="C16" s="1863"/>
      <c r="D16" s="699" t="s">
        <v>418</v>
      </c>
      <c r="E16" s="1612"/>
      <c r="F16" s="1562" t="str">
        <f>IF(H16=0, G16, H16)</f>
        <v>non-isolés</v>
      </c>
      <c r="G16" s="699" t="str">
        <f>'Outil simplifié'!$D$30</f>
        <v>non-isolés</v>
      </c>
      <c r="H16" s="263"/>
      <c r="I16" s="678" t="s">
        <v>404</v>
      </c>
      <c r="J16" s="1422" t="s">
        <v>87</v>
      </c>
      <c r="K16" s="1442">
        <f t="shared" si="1"/>
        <v>0</v>
      </c>
      <c r="L16" s="1418">
        <f>IF((Hypothèses!D23-'Outil détaillé'!L35)&gt;0,Hypothèses!D23-'Outil détaillé'!L35, 0)</f>
        <v>0</v>
      </c>
      <c r="M16" s="698"/>
      <c r="N16" s="794">
        <f ca="1">_xlfn.XLOOKUP(D16,Décomposition!D:D,Décomposition!T:T)</f>
        <v>0</v>
      </c>
      <c r="O16" s="794">
        <f t="shared" ca="1" si="0"/>
        <v>0</v>
      </c>
      <c r="P16" s="673">
        <f>_xlfn.XMATCH(D16,Décomposition!D:D)</f>
        <v>42</v>
      </c>
    </row>
    <row r="17" spans="2:16" ht="15.75" customHeight="1">
      <c r="B17" s="1860" t="s">
        <v>419</v>
      </c>
      <c r="C17" s="1864" t="s">
        <v>420</v>
      </c>
      <c r="D17" s="676" t="s">
        <v>421</v>
      </c>
      <c r="E17" s="1613"/>
      <c r="F17" s="635"/>
      <c r="G17" s="676"/>
      <c r="H17" s="636"/>
      <c r="I17" s="637"/>
      <c r="J17" s="634"/>
      <c r="K17" s="635"/>
      <c r="L17" s="676"/>
      <c r="M17" s="634"/>
      <c r="N17" s="635"/>
      <c r="O17" s="635"/>
      <c r="P17" s="1034">
        <f>_xlfn.XMATCH(D17,Décomposition!D:D)</f>
        <v>53</v>
      </c>
    </row>
    <row r="18" spans="2:16">
      <c r="B18" s="1861"/>
      <c r="C18" s="1859"/>
      <c r="D18" s="1419" t="s">
        <v>422</v>
      </c>
      <c r="E18" s="1608"/>
      <c r="F18" s="1470" t="str">
        <f>IF(H18=0, G18, H18)</f>
        <v>Paroi en bois</v>
      </c>
      <c r="G18" s="1419" t="str">
        <f>IF(ISBLANK('Outil simplifié'!D33),'Outil simplifié'!C33,'Outil simplifié'!D33)</f>
        <v>Paroi en bois</v>
      </c>
      <c r="H18" s="163"/>
      <c r="I18" s="297" t="s">
        <v>404</v>
      </c>
      <c r="J18" s="1423" t="s">
        <v>87</v>
      </c>
      <c r="K18" s="1441">
        <f t="shared" si="1"/>
        <v>217.6</v>
      </c>
      <c r="L18" s="1420">
        <f>Hypothèses!D16-Hypothèses!D13</f>
        <v>217.6</v>
      </c>
      <c r="M18" s="696"/>
      <c r="N18" s="794">
        <f ca="1">_xlfn.XLOOKUP(D18,Décomposition!D:D,Décomposition!T:T)</f>
        <v>8.5352239999999995</v>
      </c>
      <c r="O18" s="794">
        <f t="shared" ca="1" si="0"/>
        <v>0.14225373333333333</v>
      </c>
      <c r="P18" s="670">
        <f>_xlfn.XMATCH(D18,Décomposition!D:D)</f>
        <v>54</v>
      </c>
    </row>
    <row r="19" spans="2:16">
      <c r="B19" s="1861"/>
      <c r="C19" s="1857" t="s">
        <v>423</v>
      </c>
      <c r="D19" s="1434" t="s">
        <v>424</v>
      </c>
      <c r="E19" s="1611"/>
      <c r="F19" s="1444"/>
      <c r="G19" s="1434"/>
      <c r="H19" s="162"/>
      <c r="I19" s="161"/>
      <c r="J19" s="1427"/>
      <c r="K19" s="1444"/>
      <c r="L19" s="1434"/>
      <c r="M19" s="160"/>
      <c r="N19" s="1444"/>
      <c r="O19" s="1444"/>
      <c r="P19" s="1033">
        <f>_xlfn.XMATCH(D19,Décomposition!D:D)</f>
        <v>61</v>
      </c>
    </row>
    <row r="20" spans="2:16">
      <c r="B20" s="1861"/>
      <c r="C20" s="1858"/>
      <c r="D20" s="1419" t="s">
        <v>425</v>
      </c>
      <c r="E20" s="1608"/>
      <c r="F20" s="1470" t="str">
        <f>IF(H20=0, G20, H20)</f>
        <v>Revêtement bois ventilé</v>
      </c>
      <c r="G20" s="1794" t="str">
        <f>IF(ISBLANK('Outil simplifié'!D34),'Outil simplifié'!C34,'Outil simplifié'!D34)</f>
        <v>Revêtement bois ventilé</v>
      </c>
      <c r="H20" s="163"/>
      <c r="I20" s="297" t="s">
        <v>404</v>
      </c>
      <c r="J20" s="1423" t="s">
        <v>87</v>
      </c>
      <c r="K20" s="1441">
        <f t="shared" si="1"/>
        <v>217.6</v>
      </c>
      <c r="L20" s="1420">
        <f>L18</f>
        <v>217.6</v>
      </c>
      <c r="M20" s="696"/>
      <c r="N20" s="794">
        <f ca="1">_xlfn.XLOOKUP(D20,Décomposition!D:D,Décomposition!T:T)</f>
        <v>28.652503948240003</v>
      </c>
      <c r="O20" s="794">
        <f t="shared" ca="1" si="0"/>
        <v>0.47754173247066672</v>
      </c>
      <c r="P20" s="670">
        <f>_xlfn.XMATCH(D20,Décomposition!D:D)</f>
        <v>62</v>
      </c>
    </row>
    <row r="21" spans="2:16">
      <c r="B21" s="1861"/>
      <c r="C21" s="1859"/>
      <c r="D21" s="1419" t="s">
        <v>426</v>
      </c>
      <c r="E21" s="1608"/>
      <c r="F21" s="1470" t="str">
        <f>IF(H21=0, G21, H21)</f>
        <v>Laine de roche</v>
      </c>
      <c r="G21" s="1419" t="str">
        <f>IF(ISBLANK('Outil simplifié'!D35),'Outil simplifié'!C35,'Outil simplifié'!D35)</f>
        <v>Laine de roche</v>
      </c>
      <c r="H21" s="163"/>
      <c r="I21" s="297" t="s">
        <v>404</v>
      </c>
      <c r="J21" s="1423" t="s">
        <v>87</v>
      </c>
      <c r="K21" s="1441">
        <f t="shared" si="1"/>
        <v>217.6</v>
      </c>
      <c r="L21" s="1420">
        <f>IF(F20='Enveloppe du bâtiment hors terr'!A77,0,L20)</f>
        <v>217.6</v>
      </c>
      <c r="M21" s="696"/>
      <c r="N21" s="794">
        <f ca="1">_xlfn.XLOOKUP(D21,Décomposition!D:D,Décomposition!T:T)</f>
        <v>23.44387584</v>
      </c>
      <c r="O21" s="794">
        <f t="shared" ca="1" si="0"/>
        <v>0.39073126400000002</v>
      </c>
      <c r="P21" s="670">
        <f>_xlfn.XMATCH(D21,Décomposition!D:D)</f>
        <v>71</v>
      </c>
    </row>
    <row r="22" spans="2:16">
      <c r="B22" s="1861"/>
      <c r="C22" s="1857" t="s">
        <v>427</v>
      </c>
      <c r="D22" s="1434" t="s">
        <v>428</v>
      </c>
      <c r="E22" s="1611"/>
      <c r="F22" s="1444"/>
      <c r="G22" s="1434"/>
      <c r="H22" s="162"/>
      <c r="I22" s="161"/>
      <c r="J22" s="1427"/>
      <c r="K22" s="1444"/>
      <c r="L22" s="1434"/>
      <c r="M22" s="160"/>
      <c r="N22" s="1444"/>
      <c r="O22" s="1444"/>
      <c r="P22" s="1033">
        <f>_xlfn.XMATCH(D22,Décomposition!D:D)</f>
        <v>75</v>
      </c>
    </row>
    <row r="23" spans="2:16">
      <c r="B23" s="1861"/>
      <c r="C23" s="1858"/>
      <c r="D23" s="1419" t="s">
        <v>248</v>
      </c>
      <c r="E23" s="1608"/>
      <c r="F23" s="1470" t="str">
        <f>IF(H23=0, G23, H23)</f>
        <v>Triple vitrage isolant, cadre bois y c. protection solaire</v>
      </c>
      <c r="G23" s="1419" t="str">
        <f>IF('Outil simplifié'!D32=Liste!A16,Liste!C45,Liste!C47)</f>
        <v>Triple vitrage isolant, cadre bois y c. protection solaire</v>
      </c>
      <c r="H23" s="166"/>
      <c r="I23" s="297" t="s">
        <v>404</v>
      </c>
      <c r="J23" s="1423" t="s">
        <v>87</v>
      </c>
      <c r="K23" s="1441">
        <f t="shared" si="1"/>
        <v>38.4</v>
      </c>
      <c r="L23" s="1420">
        <f>Hypothèses!D13</f>
        <v>38.4</v>
      </c>
      <c r="M23" s="696"/>
      <c r="N23" s="794">
        <f ca="1">_xlfn.XLOOKUP(D23,Décomposition!D:D,Décomposition!T:T)</f>
        <v>71.541119999999992</v>
      </c>
      <c r="O23" s="794">
        <f t="shared" ca="1" si="0"/>
        <v>1.1923519999999999</v>
      </c>
      <c r="P23" s="670">
        <f>_xlfn.XMATCH(D23,Décomposition!D:D)</f>
        <v>76</v>
      </c>
    </row>
    <row r="24" spans="2:16">
      <c r="B24" s="1861"/>
      <c r="C24" s="1859"/>
      <c r="D24" s="1419" t="s">
        <v>429</v>
      </c>
      <c r="E24" s="1608"/>
      <c r="F24" s="1470" t="str">
        <f>IF(H24=0, G24, H24)</f>
        <v>Porte extérieure</v>
      </c>
      <c r="G24" s="1419" t="str">
        <f>'Enveloppe du bâtiment hors terr'!A117</f>
        <v>Porte extérieure</v>
      </c>
      <c r="H24" s="166"/>
      <c r="I24" s="297" t="s">
        <v>404</v>
      </c>
      <c r="J24" s="1423" t="s">
        <v>87</v>
      </c>
      <c r="K24" s="1441">
        <f t="shared" si="1"/>
        <v>2.1</v>
      </c>
      <c r="L24" s="1420">
        <f>2.1*1</f>
        <v>2.1</v>
      </c>
      <c r="M24" s="696"/>
      <c r="N24" s="794">
        <f ca="1">_xlfn.XLOOKUP(D24,Décomposition!D:D,Décomposition!T:T)</f>
        <v>5.6647499999999997</v>
      </c>
      <c r="O24" s="794">
        <f t="shared" ca="1" si="0"/>
        <v>9.4412499999999996E-2</v>
      </c>
      <c r="P24" s="670">
        <f>_xlfn.XMATCH(D24,Décomposition!D:D)</f>
        <v>81</v>
      </c>
    </row>
    <row r="25" spans="2:16" ht="15.75" customHeight="1">
      <c r="B25" s="1861"/>
      <c r="C25" s="1857" t="s">
        <v>430</v>
      </c>
      <c r="D25" s="1434" t="s">
        <v>431</v>
      </c>
      <c r="E25" s="1611"/>
      <c r="F25" s="1444"/>
      <c r="G25" s="1434"/>
      <c r="H25" s="162"/>
      <c r="I25" s="161"/>
      <c r="J25" s="1427"/>
      <c r="K25" s="1444"/>
      <c r="L25" s="1434"/>
      <c r="M25" s="160"/>
      <c r="N25" s="1444"/>
      <c r="O25" s="1444"/>
      <c r="P25" s="1033">
        <f>_xlfn.XMATCH(D25,Décomposition!D:D)</f>
        <v>86</v>
      </c>
    </row>
    <row r="26" spans="2:16">
      <c r="B26" s="1861"/>
      <c r="C26" s="1859"/>
      <c r="D26" s="1419" t="s">
        <v>432</v>
      </c>
      <c r="E26" s="1608"/>
      <c r="F26" s="1470" t="str">
        <f>IF(H26=0, G26, H26)</f>
        <v>Plafond en bois massif</v>
      </c>
      <c r="G26" s="1419" t="str">
        <f>IF(ISBLANK('Outil simplifié'!D36),'Outil simplifié'!C36,'Outil simplifié'!D36)</f>
        <v>Plafond en bois massif</v>
      </c>
      <c r="H26" s="166"/>
      <c r="I26" s="297" t="s">
        <v>404</v>
      </c>
      <c r="J26" s="1423" t="s">
        <v>87</v>
      </c>
      <c r="K26" s="1441">
        <f t="shared" si="1"/>
        <v>80</v>
      </c>
      <c r="L26" s="1420">
        <f>Hypothèses!D20</f>
        <v>80</v>
      </c>
      <c r="M26" s="696"/>
      <c r="N26" s="794">
        <f ca="1">_xlfn.XLOOKUP(D26,Décomposition!D:D,Décomposition!T:T)</f>
        <v>11.456885</v>
      </c>
      <c r="O26" s="794">
        <f t="shared" ca="1" si="0"/>
        <v>0.19094808333333332</v>
      </c>
      <c r="P26" s="670">
        <f>_xlfn.XMATCH(D26,Décomposition!D:D)</f>
        <v>87</v>
      </c>
    </row>
    <row r="27" spans="2:16" ht="15.75" customHeight="1">
      <c r="B27" s="1861"/>
      <c r="C27" s="1857" t="s">
        <v>433</v>
      </c>
      <c r="D27" s="1434" t="s">
        <v>434</v>
      </c>
      <c r="E27" s="1611"/>
      <c r="F27" s="1444"/>
      <c r="G27" s="1434"/>
      <c r="H27" s="162"/>
      <c r="I27" s="161"/>
      <c r="J27" s="1427"/>
      <c r="K27" s="1444"/>
      <c r="L27" s="1434"/>
      <c r="M27" s="160"/>
      <c r="N27" s="1444"/>
      <c r="O27" s="1444"/>
      <c r="P27" s="1033">
        <f>_xlfn.XMATCH(D27,Décomposition!D:D)</f>
        <v>95</v>
      </c>
    </row>
    <row r="28" spans="2:16">
      <c r="B28" s="1861"/>
      <c r="C28" s="1858"/>
      <c r="D28" s="699" t="s">
        <v>435</v>
      </c>
      <c r="E28" s="1612"/>
      <c r="F28" s="1470" t="str">
        <f>IF(H28=0, G28, H28)</f>
        <v>Toiture inclinée</v>
      </c>
      <c r="G28" s="1419" t="str">
        <f>IF(ISBLANK('Outil simplifié'!D37),'Outil simplifié'!C37,'Outil simplifié'!D37)</f>
        <v>Toiture inclinée</v>
      </c>
      <c r="H28" s="517"/>
      <c r="I28" s="678" t="s">
        <v>404</v>
      </c>
      <c r="J28" s="1422" t="s">
        <v>87</v>
      </c>
      <c r="K28" s="1442">
        <f t="shared" si="1"/>
        <v>92.376043070340117</v>
      </c>
      <c r="L28" s="1418">
        <f>Hypothèses!D21</f>
        <v>92.376043070340117</v>
      </c>
      <c r="M28" s="698"/>
      <c r="N28" s="794">
        <f ca="1">_xlfn.XLOOKUP(D28,Décomposition!D:D,Décomposition!T:T)</f>
        <v>25.680250699006919</v>
      </c>
      <c r="O28" s="794">
        <f t="shared" ca="1" si="0"/>
        <v>0.428004178316782</v>
      </c>
      <c r="P28" s="673">
        <f>_xlfn.XMATCH(D28,Décomposition!D:D)</f>
        <v>96</v>
      </c>
    </row>
    <row r="29" spans="2:16" ht="16.5" thickBot="1">
      <c r="B29" s="1862"/>
      <c r="C29" s="1863"/>
      <c r="D29" s="639" t="str">
        <f>F28&amp; + " isolant"</f>
        <v>Toiture inclinée isolant</v>
      </c>
      <c r="E29" s="1614"/>
      <c r="F29" s="1470" t="str">
        <f>IF(H29=0, G29, H29)</f>
        <v>Laine de roche</v>
      </c>
      <c r="G29" s="1419" t="str">
        <f>IF(ISBLANK('Outil simplifié'!D38),'Outil simplifié'!C38,'Outil simplifié'!D38)</f>
        <v>Laine de roche</v>
      </c>
      <c r="H29" s="974"/>
      <c r="I29" s="678" t="s">
        <v>404</v>
      </c>
      <c r="J29" s="1422" t="s">
        <v>87</v>
      </c>
      <c r="K29" s="671">
        <f t="shared" si="1"/>
        <v>92.376043070340117</v>
      </c>
      <c r="L29" s="1435">
        <f>IF(ISERROR(FIND("non", F28)), L28, 0)</f>
        <v>92.376043070340117</v>
      </c>
      <c r="M29" s="618"/>
      <c r="N29" s="794">
        <f ca="1">_xlfn.XLOOKUP(D29,Décomposition!D:D,Décomposition!T:T)</f>
        <v>23.750157801513655</v>
      </c>
      <c r="O29" s="794">
        <f t="shared" ca="1" si="0"/>
        <v>0.39583596335856092</v>
      </c>
      <c r="P29" s="673">
        <f>_xlfn.XMATCH(D29,Décomposition!D:D)</f>
        <v>106</v>
      </c>
    </row>
    <row r="30" spans="2:16" ht="15.75" customHeight="1">
      <c r="B30" s="1860" t="s">
        <v>436</v>
      </c>
      <c r="C30" s="1864" t="s">
        <v>437</v>
      </c>
      <c r="D30" s="676" t="s">
        <v>438</v>
      </c>
      <c r="E30" s="1613"/>
      <c r="F30" s="635"/>
      <c r="G30" s="676"/>
      <c r="H30" s="636"/>
      <c r="I30" s="637"/>
      <c r="J30" s="634"/>
      <c r="K30" s="635"/>
      <c r="L30" s="676"/>
      <c r="M30" s="634"/>
      <c r="N30" s="635"/>
      <c r="O30" s="635"/>
      <c r="P30" s="1034">
        <f>_xlfn.XMATCH(D30,Décomposition!D:D)</f>
        <v>109</v>
      </c>
    </row>
    <row r="31" spans="2:16">
      <c r="B31" s="1861"/>
      <c r="C31" s="1858"/>
      <c r="D31" s="1419" t="s">
        <v>439</v>
      </c>
      <c r="E31" s="1608"/>
      <c r="F31" s="1470" t="str">
        <f>IF(H31=0, G31, H31)</f>
        <v>Paroi CLT</v>
      </c>
      <c r="G31" s="1419" t="str">
        <f>IF(ISBLANK('Outil simplifié'!D40),'Outil simplifié'!C40,'Outil simplifié'!D40)</f>
        <v>Paroi CLT</v>
      </c>
      <c r="H31" s="163"/>
      <c r="I31" s="513" t="s">
        <v>404</v>
      </c>
      <c r="J31" s="1428" t="s">
        <v>87</v>
      </c>
      <c r="K31" s="1552">
        <f t="shared" si="1"/>
        <v>64</v>
      </c>
      <c r="L31" s="1436">
        <f>IF('Outil simplifié'!D10=Liste!B4,0,Hypothèses!D5*'Outil simplifié'!D12)</f>
        <v>64</v>
      </c>
      <c r="M31" s="696"/>
      <c r="N31" s="794">
        <f ca="1">_xlfn.XLOOKUP(D31,Décomposition!D:D,Décomposition!T:T)</f>
        <v>14.449091039999999</v>
      </c>
      <c r="O31" s="794">
        <f t="shared" ca="1" si="0"/>
        <v>0.24081818399999999</v>
      </c>
      <c r="P31" s="670">
        <f>_xlfn.XMATCH(D31,Décomposition!D:D)</f>
        <v>110</v>
      </c>
    </row>
    <row r="32" spans="2:16">
      <c r="B32" s="1861"/>
      <c r="C32" s="1858"/>
      <c r="D32" s="1419" t="s">
        <v>440</v>
      </c>
      <c r="E32" s="1608"/>
      <c r="F32" s="1470" t="str">
        <f>IF(H32=0, G32, H32)</f>
        <v>Paroi placoplatre</v>
      </c>
      <c r="G32" s="1419" t="str">
        <f>'Eléments de constr. inté. et ex'!A30</f>
        <v>Paroi placoplatre</v>
      </c>
      <c r="H32" s="163"/>
      <c r="I32" s="513" t="s">
        <v>404</v>
      </c>
      <c r="J32" s="1428" t="s">
        <v>87</v>
      </c>
      <c r="K32" s="1552">
        <f t="shared" si="1"/>
        <v>64</v>
      </c>
      <c r="L32" s="1436">
        <f>Hypothèses!D6*'Outil simplifié'!D12</f>
        <v>64</v>
      </c>
      <c r="M32" s="696"/>
      <c r="N32" s="794">
        <f ca="1">_xlfn.XLOOKUP(D32,Décomposition!D:D,Décomposition!T:T)</f>
        <v>22.379770627199999</v>
      </c>
      <c r="O32" s="794">
        <f t="shared" ca="1" si="0"/>
        <v>0.37299617711999999</v>
      </c>
      <c r="P32" s="670">
        <f>_xlfn.XMATCH(D32,Décomposition!D:D)</f>
        <v>119</v>
      </c>
    </row>
    <row r="33" spans="2:16">
      <c r="B33" s="1861"/>
      <c r="C33" s="1859"/>
      <c r="D33" s="1419" t="s">
        <v>3656</v>
      </c>
      <c r="E33" s="1608"/>
      <c r="F33" s="1470" t="str">
        <f>IF(H33=0, G33, H33)</f>
        <v>Béton</v>
      </c>
      <c r="G33" s="1419" t="str">
        <f>'Eléments de constr. inté. et ex'!A5</f>
        <v>Béton</v>
      </c>
      <c r="H33" s="163"/>
      <c r="I33" s="513" t="s">
        <v>404</v>
      </c>
      <c r="J33" s="1428" t="s">
        <v>87</v>
      </c>
      <c r="K33" s="1552">
        <f t="shared" si="1"/>
        <v>103.8</v>
      </c>
      <c r="L33" s="1436">
        <f>IF('Outil simplifié'!D10=Liste!B3,IF('Outil simplifié'!D13&gt;1,(1.4*3+1.1)*'Outil simplifié'!D13*Hypothèses!D3+Hypothèses!D34,0),0)</f>
        <v>103.8</v>
      </c>
      <c r="M33" s="696"/>
      <c r="N33" s="794">
        <f ca="1">_xlfn.XLOOKUP(D33,Décomposition!D:D,Décomposition!T:T)</f>
        <v>41.219203839410838</v>
      </c>
      <c r="O33" s="794">
        <f t="shared" ca="1" si="0"/>
        <v>0.68698673065684734</v>
      </c>
      <c r="P33" s="670">
        <f>_xlfn.XMATCH(D33,Décomposition!D:D)</f>
        <v>128</v>
      </c>
    </row>
    <row r="34" spans="2:16">
      <c r="B34" s="1861"/>
      <c r="C34" s="1857" t="s">
        <v>441</v>
      </c>
      <c r="D34" s="1434" t="s">
        <v>442</v>
      </c>
      <c r="E34" s="1611"/>
      <c r="F34" s="1444"/>
      <c r="G34" s="1434"/>
      <c r="H34" s="162"/>
      <c r="I34" s="161"/>
      <c r="J34" s="1427"/>
      <c r="K34" s="1444"/>
      <c r="L34" s="1434"/>
      <c r="M34" s="160"/>
      <c r="N34" s="1444"/>
      <c r="O34" s="1444"/>
      <c r="P34" s="1033">
        <f>_xlfn.XMATCH(D34,Décomposition!D:D)</f>
        <v>134</v>
      </c>
    </row>
    <row r="35" spans="2:16">
      <c r="B35" s="1861"/>
      <c r="C35" s="1858"/>
      <c r="D35" s="1419" t="s">
        <v>443</v>
      </c>
      <c r="E35" s="1608"/>
      <c r="F35" s="1470" t="str">
        <f>IF(H35=0, G35, H35)</f>
        <v>Système mixte bois-béton</v>
      </c>
      <c r="G35" s="1419" t="str">
        <f>IF(ISBLANK('Outil simplifié'!D41),'Outil simplifié'!C41,'Outil simplifié'!D41)</f>
        <v>Système mixte bois-béton</v>
      </c>
      <c r="H35" s="163"/>
      <c r="I35" s="297" t="s">
        <v>404</v>
      </c>
      <c r="J35" s="1423" t="s">
        <v>87</v>
      </c>
      <c r="K35" s="1441">
        <f t="shared" si="1"/>
        <v>80</v>
      </c>
      <c r="L35" s="1420">
        <f>IF('Outil simplifié'!D10=Liste!B4,0,Hypothèses!D12)</f>
        <v>80</v>
      </c>
      <c r="M35" s="696"/>
      <c r="N35" s="794">
        <f ca="1">_xlfn.XLOOKUP(D35,Décomposition!D:D,Décomposition!T:T)</f>
        <v>15.583836656050956</v>
      </c>
      <c r="O35" s="794">
        <f t="shared" ca="1" si="0"/>
        <v>0.25973061093418259</v>
      </c>
      <c r="P35" s="670">
        <f>_xlfn.XMATCH(D35,Décomposition!D:D)</f>
        <v>135</v>
      </c>
    </row>
    <row r="36" spans="2:16">
      <c r="B36" s="1861"/>
      <c r="C36" s="1858"/>
      <c r="D36" s="1419" t="s">
        <v>111</v>
      </c>
      <c r="E36" s="1608"/>
      <c r="F36" s="1470" t="str">
        <f>IF(H36=0, G36, H36)</f>
        <v>Système mixte bois-béton</v>
      </c>
      <c r="G36" s="1419" t="str">
        <f>IF(ISBLANK('Outil simplifié'!D41),'Outil simplifié'!C41,'Outil simplifié'!D41)</f>
        <v>Système mixte bois-béton</v>
      </c>
      <c r="H36" s="163"/>
      <c r="I36" s="297" t="s">
        <v>404</v>
      </c>
      <c r="J36" s="1423" t="s">
        <v>87</v>
      </c>
      <c r="K36" s="1441">
        <f t="shared" si="1"/>
        <v>80</v>
      </c>
      <c r="L36" s="1420">
        <f>IF('Outil simplifié'!D10=Liste!B4,0,Hypothèses!D12*('Outil simplifié'!D13-1))</f>
        <v>80</v>
      </c>
      <c r="M36" s="696"/>
      <c r="N36" s="794">
        <f ca="1">_xlfn.XLOOKUP(D36,Décomposition!D:D,Décomposition!T:T)</f>
        <v>15.583836656050956</v>
      </c>
      <c r="O36" s="794">
        <f t="shared" ca="1" si="0"/>
        <v>0.25973061093418259</v>
      </c>
      <c r="P36" s="670">
        <f>_xlfn.XMATCH(D36,Décomposition!D:D)</f>
        <v>144</v>
      </c>
    </row>
    <row r="37" spans="2:16">
      <c r="B37" s="1861"/>
      <c r="C37" s="1859"/>
      <c r="D37" s="1419" t="s">
        <v>103</v>
      </c>
      <c r="E37" s="1608"/>
      <c r="F37" s="1470" t="str">
        <f>IF(H37=0, G37, H37)</f>
        <v>Système mixte bois-béton</v>
      </c>
      <c r="G37" s="1419" t="str">
        <f>IF(ISBLANK('Outil simplifié'!D41),'Outil simplifié'!C41,'Outil simplifié'!D41)</f>
        <v>Système mixte bois-béton</v>
      </c>
      <c r="H37" s="163"/>
      <c r="I37" s="297" t="s">
        <v>404</v>
      </c>
      <c r="J37" s="1423" t="s">
        <v>87</v>
      </c>
      <c r="K37" s="1441">
        <f t="shared" si="1"/>
        <v>0</v>
      </c>
      <c r="L37" s="1420">
        <f>IF('Outil simplifié'!D17&gt;1,Hypothèses!D23*( 'Outil simplifié'!D17-1), 0)</f>
        <v>0</v>
      </c>
      <c r="M37" s="696"/>
      <c r="N37" s="794">
        <f ca="1">_xlfn.XLOOKUP(D37,Décomposition!D:D,Décomposition!T:T)</f>
        <v>0</v>
      </c>
      <c r="O37" s="794">
        <f t="shared" ca="1" si="0"/>
        <v>0</v>
      </c>
      <c r="P37" s="670">
        <f>_xlfn.XMATCH(D37,Décomposition!D:D)</f>
        <v>153</v>
      </c>
    </row>
    <row r="38" spans="2:16">
      <c r="B38" s="1861"/>
      <c r="C38" s="1857" t="s">
        <v>444</v>
      </c>
      <c r="D38" s="1437" t="s">
        <v>445</v>
      </c>
      <c r="E38" s="1615"/>
      <c r="F38" s="1445"/>
      <c r="G38" s="1437"/>
      <c r="H38" s="630"/>
      <c r="I38" s="631"/>
      <c r="J38" s="1429"/>
      <c r="K38" s="1445"/>
      <c r="L38" s="1437"/>
      <c r="M38" s="629"/>
      <c r="N38" s="1445"/>
      <c r="O38" s="1445"/>
      <c r="P38" s="1035">
        <f>_xlfn.XMATCH(D38,Décomposition!D:D)</f>
        <v>161</v>
      </c>
    </row>
    <row r="39" spans="2:16">
      <c r="B39" s="1861"/>
      <c r="C39" s="1859"/>
      <c r="D39" s="1419" t="s">
        <v>446</v>
      </c>
      <c r="E39" s="1608"/>
      <c r="F39" s="1470" t="str">
        <f>IF(H39=0, G39, H39)</f>
        <v>Escaliers béton</v>
      </c>
      <c r="G39" s="1419" t="str">
        <f>'Eléments de constr. inté. et ex'!A61</f>
        <v>Escaliers béton</v>
      </c>
      <c r="H39" s="163"/>
      <c r="I39" s="297" t="s">
        <v>404</v>
      </c>
      <c r="J39" s="1423" t="s">
        <v>87</v>
      </c>
      <c r="K39" s="1441">
        <f t="shared" si="1"/>
        <v>0</v>
      </c>
      <c r="L39" s="1420">
        <v>0</v>
      </c>
      <c r="M39" s="696"/>
      <c r="N39" s="794">
        <f ca="1">_xlfn.XLOOKUP(D39,Décomposition!D:D,Décomposition!T:T)</f>
        <v>0</v>
      </c>
      <c r="O39" s="794">
        <f t="shared" ca="1" si="0"/>
        <v>0</v>
      </c>
      <c r="P39" s="670">
        <f>_xlfn.XMATCH(D39,Décomposition!D:D)</f>
        <v>162</v>
      </c>
    </row>
    <row r="40" spans="2:16">
      <c r="B40" s="1861"/>
      <c r="C40" s="1857" t="s">
        <v>447</v>
      </c>
      <c r="D40" s="1434" t="s">
        <v>448</v>
      </c>
      <c r="E40" s="1611"/>
      <c r="F40" s="1444"/>
      <c r="G40" s="1434"/>
      <c r="H40" s="162"/>
      <c r="I40" s="161"/>
      <c r="J40" s="1427"/>
      <c r="K40" s="1444"/>
      <c r="L40" s="1434"/>
      <c r="M40" s="160"/>
      <c r="N40" s="1444"/>
      <c r="O40" s="1444"/>
      <c r="P40" s="1033">
        <f>_xlfn.XMATCH(D40,Décomposition!D:D)</f>
        <v>168</v>
      </c>
    </row>
    <row r="41" spans="2:16">
      <c r="B41" s="1861"/>
      <c r="C41" s="1859"/>
      <c r="D41" s="1419" t="s">
        <v>449</v>
      </c>
      <c r="E41" s="1608"/>
      <c r="F41" s="1470" t="str">
        <f>IF(H41=0, G41, H41)</f>
        <v>Balcons bois y c. dispositifs antichute</v>
      </c>
      <c r="G41" s="1419" t="str">
        <f>IF(G35=Liste!C63,Liste!E63,Liste!E64)</f>
        <v>Balcons bois y c. dispositifs antichute</v>
      </c>
      <c r="H41" s="166"/>
      <c r="I41" s="297" t="s">
        <v>404</v>
      </c>
      <c r="J41" s="1423" t="s">
        <v>87</v>
      </c>
      <c r="K41" s="1441">
        <f t="shared" si="1"/>
        <v>32</v>
      </c>
      <c r="L41" s="1420">
        <f>Hypothèses!$D$7*'Outil simplifié'!D12</f>
        <v>32</v>
      </c>
      <c r="M41" s="696"/>
      <c r="N41" s="794">
        <f ca="1">_xlfn.XLOOKUP(D41,Décomposition!D:D,Décomposition!T:T)</f>
        <v>4.7492419999999997</v>
      </c>
      <c r="O41" s="794">
        <f t="shared" ca="1" si="0"/>
        <v>7.9154033333333332E-2</v>
      </c>
      <c r="P41" s="670">
        <f>_xlfn.XMATCH(D41,Décomposition!D:D)</f>
        <v>169</v>
      </c>
    </row>
    <row r="42" spans="2:16">
      <c r="B42" s="1861"/>
      <c r="C42" s="1857" t="s">
        <v>450</v>
      </c>
      <c r="D42" s="1434" t="s">
        <v>451</v>
      </c>
      <c r="E42" s="1611"/>
      <c r="F42" s="1444"/>
      <c r="G42" s="1434"/>
      <c r="H42" s="162"/>
      <c r="I42" s="160"/>
      <c r="J42" s="1427"/>
      <c r="K42" s="1444"/>
      <c r="L42" s="1434"/>
      <c r="M42" s="160"/>
      <c r="N42" s="1444"/>
      <c r="O42" s="1444"/>
      <c r="P42" s="1033">
        <f>_xlfn.XMATCH(D42,Décomposition!D:D)</f>
        <v>178</v>
      </c>
    </row>
    <row r="43" spans="2:16">
      <c r="B43" s="1861"/>
      <c r="C43" s="1859"/>
      <c r="D43" s="701" t="s">
        <v>452</v>
      </c>
      <c r="E43" s="1608"/>
      <c r="F43" s="1470" t="str">
        <f>IF(H43=0, G43, H43)</f>
        <v>Portes internes</v>
      </c>
      <c r="G43" s="1419" t="str">
        <f>'Eléments de constr. inté. et ex'!A83</f>
        <v>Portes internes</v>
      </c>
      <c r="H43" s="164"/>
      <c r="I43" s="297" t="s">
        <v>404</v>
      </c>
      <c r="J43" s="701" t="s">
        <v>87</v>
      </c>
      <c r="K43" s="1470">
        <f t="shared" si="1"/>
        <v>0</v>
      </c>
      <c r="L43" s="1419">
        <v>0</v>
      </c>
      <c r="M43" s="696"/>
      <c r="N43" s="794">
        <f ca="1">_xlfn.XLOOKUP(D43,Décomposition!D:D,Décomposition!T:T)</f>
        <v>0</v>
      </c>
      <c r="O43" s="794">
        <f t="shared" ca="1" si="0"/>
        <v>0</v>
      </c>
      <c r="P43" s="670">
        <f>_xlfn.XMATCH(D43,Décomposition!D:D)</f>
        <v>179</v>
      </c>
    </row>
    <row r="44" spans="2:16">
      <c r="B44" s="1861"/>
      <c r="C44" s="1857" t="s">
        <v>453</v>
      </c>
      <c r="D44" s="677" t="s">
        <v>454</v>
      </c>
      <c r="E44" s="1610"/>
      <c r="F44" s="663"/>
      <c r="G44" s="677"/>
      <c r="H44" s="268"/>
      <c r="I44" s="664"/>
      <c r="J44" s="662"/>
      <c r="K44" s="663"/>
      <c r="L44" s="677"/>
      <c r="M44" s="662"/>
      <c r="N44" s="663"/>
      <c r="O44" s="663"/>
      <c r="P44" s="1032">
        <f>_xlfn.XMATCH(D44,Décomposition!D:D)</f>
        <v>182</v>
      </c>
    </row>
    <row r="45" spans="2:16">
      <c r="B45" s="1861"/>
      <c r="C45" s="1858"/>
      <c r="D45" s="1419" t="s">
        <v>443</v>
      </c>
      <c r="E45" s="1608"/>
      <c r="F45" s="1470" t="str">
        <f>IF(H45=0, G45, H45)</f>
        <v xml:space="preserve">Revêtement de sol fini mixte </v>
      </c>
      <c r="G45" s="1419" t="str">
        <f>'Eléments de constr. inté. et ex'!A101</f>
        <v xml:space="preserve">Revêtement de sol fini mixte </v>
      </c>
      <c r="H45" s="163"/>
      <c r="I45" s="297" t="s">
        <v>404</v>
      </c>
      <c r="J45" s="1423" t="s">
        <v>87</v>
      </c>
      <c r="K45" s="1441">
        <f t="shared" si="1"/>
        <v>80</v>
      </c>
      <c r="L45" s="1420">
        <f>IF('Outil simplifié'!D17=0, 0, Hypothèses!D12)</f>
        <v>80</v>
      </c>
      <c r="M45" s="696"/>
      <c r="N45" s="794">
        <f ca="1">_xlfn.XLOOKUP(D45,Décomposition!D:D,Décomposition!T:T,0,0,-1)</f>
        <v>15.866030000000002</v>
      </c>
      <c r="O45" s="794">
        <f t="shared" ca="1" si="0"/>
        <v>0.26443383333333337</v>
      </c>
      <c r="P45" s="670">
        <f>_xlfn.XMATCH(D45,Décomposition!D:D,0,-1)</f>
        <v>183</v>
      </c>
    </row>
    <row r="46" spans="2:16">
      <c r="B46" s="1861"/>
      <c r="C46" s="1858"/>
      <c r="D46" s="1419" t="s">
        <v>455</v>
      </c>
      <c r="E46" s="1608"/>
      <c r="F46" s="1470" t="str">
        <f t="shared" ref="F46:F52" si="2">IF(H46=0, G46, H46)</f>
        <v>Chape ciment</v>
      </c>
      <c r="G46" s="1419" t="str">
        <f>'Eléments de constr. inté. et ex'!A108</f>
        <v>Chape ciment</v>
      </c>
      <c r="H46" s="163"/>
      <c r="I46" s="297" t="s">
        <v>404</v>
      </c>
      <c r="J46" s="1423" t="s">
        <v>87</v>
      </c>
      <c r="K46" s="1441">
        <f t="shared" si="1"/>
        <v>80</v>
      </c>
      <c r="L46" s="1420">
        <f>L45</f>
        <v>80</v>
      </c>
      <c r="M46" s="696"/>
      <c r="N46" s="794">
        <f ca="1">_xlfn.XLOOKUP(D46,Décomposition!D:D,Décomposition!T:T,0,0,-1)</f>
        <v>15.501149999999999</v>
      </c>
      <c r="O46" s="794">
        <f t="shared" ca="1" si="0"/>
        <v>0.25835249999999998</v>
      </c>
      <c r="P46" s="670">
        <f>_xlfn.XMATCH(D46,Décomposition!D:D,0,-1)</f>
        <v>192</v>
      </c>
    </row>
    <row r="47" spans="2:16">
      <c r="B47" s="1861"/>
      <c r="C47" s="1858"/>
      <c r="D47" s="1419" t="s">
        <v>111</v>
      </c>
      <c r="E47" s="1608"/>
      <c r="F47" s="1470" t="str">
        <f t="shared" si="2"/>
        <v xml:space="preserve">Revêtement de sol fini mixte </v>
      </c>
      <c r="G47" s="1419" t="str">
        <f>'Eléments de constr. inté. et ex'!A101</f>
        <v xml:space="preserve">Revêtement de sol fini mixte </v>
      </c>
      <c r="H47" s="163"/>
      <c r="I47" s="297" t="s">
        <v>404</v>
      </c>
      <c r="J47" s="1423" t="s">
        <v>87</v>
      </c>
      <c r="K47" s="1441">
        <f t="shared" si="1"/>
        <v>80</v>
      </c>
      <c r="L47" s="1420">
        <f>L36</f>
        <v>80</v>
      </c>
      <c r="M47" s="696"/>
      <c r="N47" s="794">
        <f ca="1">_xlfn.XLOOKUP(D47,Décomposition!D:D,Décomposition!T:T,0,0,-1)</f>
        <v>15.866030000000002</v>
      </c>
      <c r="O47" s="794">
        <f t="shared" ca="1" si="0"/>
        <v>0.26443383333333337</v>
      </c>
      <c r="P47" s="670">
        <f>_xlfn.XMATCH(D47,Décomposition!D:D,0,-1)</f>
        <v>197</v>
      </c>
    </row>
    <row r="48" spans="2:16">
      <c r="B48" s="1861"/>
      <c r="C48" s="1858"/>
      <c r="D48" s="1419" t="s">
        <v>456</v>
      </c>
      <c r="E48" s="1608"/>
      <c r="F48" s="1470" t="str">
        <f t="shared" si="2"/>
        <v>Chape ciment</v>
      </c>
      <c r="G48" s="1419" t="str">
        <f>'Eléments de constr. inté. et ex'!A108</f>
        <v>Chape ciment</v>
      </c>
      <c r="H48" s="163"/>
      <c r="I48" s="297" t="s">
        <v>404</v>
      </c>
      <c r="J48" s="1423" t="s">
        <v>87</v>
      </c>
      <c r="K48" s="1441">
        <f t="shared" si="1"/>
        <v>80</v>
      </c>
      <c r="L48" s="1420">
        <f>L47</f>
        <v>80</v>
      </c>
      <c r="M48" s="696"/>
      <c r="N48" s="794">
        <f ca="1">_xlfn.XLOOKUP(D48,Décomposition!D:D,Décomposition!T:T,0,0,-1)</f>
        <v>15.501149999999999</v>
      </c>
      <c r="O48" s="794">
        <f t="shared" ca="1" si="0"/>
        <v>0.25835249999999998</v>
      </c>
      <c r="P48" s="670">
        <f>_xlfn.XMATCH(D48,Décomposition!D:D,0,-1)</f>
        <v>206</v>
      </c>
    </row>
    <row r="49" spans="2:16">
      <c r="B49" s="1861"/>
      <c r="C49" s="1858"/>
      <c r="D49" s="1419" t="s">
        <v>103</v>
      </c>
      <c r="E49" s="1608"/>
      <c r="F49" s="1470" t="str">
        <f t="shared" si="2"/>
        <v xml:space="preserve">Revêtement de sol fini mixte </v>
      </c>
      <c r="G49" s="1419" t="str">
        <f>'Eléments de constr. inté. et ex'!A101</f>
        <v xml:space="preserve">Revêtement de sol fini mixte </v>
      </c>
      <c r="H49" s="163"/>
      <c r="I49" s="297" t="s">
        <v>404</v>
      </c>
      <c r="J49" s="1423" t="s">
        <v>87</v>
      </c>
      <c r="K49" s="1441">
        <f t="shared" si="1"/>
        <v>0</v>
      </c>
      <c r="L49" s="1420">
        <f>L37</f>
        <v>0</v>
      </c>
      <c r="M49" s="696"/>
      <c r="N49" s="794">
        <f ca="1">_xlfn.XLOOKUP(D49,Décomposition!D:D,Décomposition!T:T,0,0,-1)</f>
        <v>0</v>
      </c>
      <c r="O49" s="794">
        <f t="shared" ca="1" si="0"/>
        <v>0</v>
      </c>
      <c r="P49" s="670">
        <f>_xlfn.XMATCH(D49,Décomposition!D:D,0,-1)</f>
        <v>211</v>
      </c>
    </row>
    <row r="50" spans="2:16">
      <c r="B50" s="1861"/>
      <c r="C50" s="1858"/>
      <c r="D50" s="1423" t="s">
        <v>457</v>
      </c>
      <c r="E50" s="1608"/>
      <c r="F50" s="1470" t="str">
        <f t="shared" si="2"/>
        <v>Chape ciment</v>
      </c>
      <c r="G50" s="1419" t="str">
        <f>'Eléments de constr. inté. et ex'!A108</f>
        <v>Chape ciment</v>
      </c>
      <c r="H50" s="163"/>
      <c r="I50" s="297" t="s">
        <v>404</v>
      </c>
      <c r="J50" s="1423" t="s">
        <v>87</v>
      </c>
      <c r="K50" s="1441">
        <f t="shared" si="1"/>
        <v>0</v>
      </c>
      <c r="L50" s="1425">
        <f>L49</f>
        <v>0</v>
      </c>
      <c r="M50" s="696"/>
      <c r="N50" s="794">
        <f ca="1">_xlfn.XLOOKUP(D50,Décomposition!D:D,Décomposition!T:T,0,0,-1)</f>
        <v>0</v>
      </c>
      <c r="O50" s="794">
        <f t="shared" ca="1" si="0"/>
        <v>0</v>
      </c>
      <c r="P50" s="670">
        <f>_xlfn.XMATCH(D50,Décomposition!D:D,0,-1)</f>
        <v>220</v>
      </c>
    </row>
    <row r="51" spans="2:16">
      <c r="B51" s="1861"/>
      <c r="C51" s="1858"/>
      <c r="D51" s="1423" t="s">
        <v>458</v>
      </c>
      <c r="E51" s="1608"/>
      <c r="F51" s="1562" t="str">
        <f t="shared" si="2"/>
        <v>Laine de roche, acoustique</v>
      </c>
      <c r="G51" s="1149" t="str" cm="1">
        <f t="array" ref="G51">_xlfn.SWITCH(G52,Liste!J63,Liste!I63,Liste!J64,Liste!I64,Liste!I65)</f>
        <v>Laine de roche, acoustique</v>
      </c>
      <c r="H51" s="1148"/>
      <c r="I51" s="297" t="s">
        <v>404</v>
      </c>
      <c r="J51" s="1423" t="s">
        <v>87</v>
      </c>
      <c r="K51" s="1553">
        <f t="shared" si="1"/>
        <v>80</v>
      </c>
      <c r="L51" s="1147">
        <f>L47</f>
        <v>80</v>
      </c>
      <c r="M51" s="696"/>
      <c r="N51" s="794">
        <f ca="1">_xlfn.XLOOKUP(D51,Décomposition!D:D,Décomposition!T:T,0,0,-1)</f>
        <v>2.15042</v>
      </c>
      <c r="O51" s="794">
        <f t="shared" ca="1" si="0"/>
        <v>3.5840333333333335E-2</v>
      </c>
      <c r="P51" s="670">
        <f>_xlfn.XMATCH(D51,Décomposition!D:D,0,-1)</f>
        <v>225</v>
      </c>
    </row>
    <row r="52" spans="2:16">
      <c r="B52" s="1861"/>
      <c r="C52" s="1859"/>
      <c r="D52" s="1019" t="s">
        <v>459</v>
      </c>
      <c r="E52" s="1608"/>
      <c r="F52" s="1470" t="str">
        <f t="shared" si="2"/>
        <v>Laine de roche</v>
      </c>
      <c r="G52" s="1795" t="str" cm="1">
        <f t="array" ref="G52">_xlfn.SWITCH(F21,Liste!I45,Liste!J63,Liste!I46,Liste!J65,Liste!I47,Liste!J65,Liste!I48,Liste!J64,Liste!J65)</f>
        <v>Laine de roche</v>
      </c>
      <c r="H52" s="1148"/>
      <c r="I52" s="297" t="s">
        <v>404</v>
      </c>
      <c r="J52" s="1423" t="s">
        <v>87</v>
      </c>
      <c r="K52" s="1447">
        <f t="shared" si="1"/>
        <v>80</v>
      </c>
      <c r="L52" s="1438">
        <f>IF('Outil détaillé'!F12=Liste!A9,Hypothèses!D15,0)</f>
        <v>80</v>
      </c>
      <c r="M52" s="696"/>
      <c r="N52" s="794">
        <f ca="1">_xlfn.XLOOKUP(D52,Décomposition!D:D,Décomposition!T:T,0,0,-1)</f>
        <v>15.209619999999999</v>
      </c>
      <c r="O52" s="794">
        <f t="shared" ca="1" si="0"/>
        <v>0.25349366666666667</v>
      </c>
      <c r="P52" s="670">
        <f>_xlfn.XMATCH(D52,Décomposition!D:D,0,-1)</f>
        <v>229</v>
      </c>
    </row>
    <row r="53" spans="2:16">
      <c r="B53" s="1861"/>
      <c r="C53" s="1857" t="s">
        <v>461</v>
      </c>
      <c r="D53" s="1437" t="s">
        <v>462</v>
      </c>
      <c r="E53" s="1615"/>
      <c r="F53" s="1445"/>
      <c r="G53" s="1437"/>
      <c r="H53" s="630"/>
      <c r="I53" s="633"/>
      <c r="J53" s="1430"/>
      <c r="K53" s="1445"/>
      <c r="L53" s="1437"/>
      <c r="M53" s="629"/>
      <c r="N53" s="1445"/>
      <c r="O53" s="1445"/>
      <c r="P53" s="1035">
        <f>_xlfn.XMATCH(D53,Décomposition!D:D)</f>
        <v>233</v>
      </c>
    </row>
    <row r="54" spans="2:16">
      <c r="B54" s="1861"/>
      <c r="C54" s="1858"/>
      <c r="D54" s="1419" t="s">
        <v>463</v>
      </c>
      <c r="E54" s="1608"/>
      <c r="F54" s="1470" t="str">
        <f>IF(H54=0, G54, H54)</f>
        <v>Enduit en plâtre et en ciment</v>
      </c>
      <c r="G54" s="1419" t="str">
        <f>'Eléments de constr. inté. et ex'!A156</f>
        <v>Enduit en plâtre et en ciment</v>
      </c>
      <c r="H54" s="166"/>
      <c r="I54" s="297" t="s">
        <v>404</v>
      </c>
      <c r="J54" s="1423" t="s">
        <v>87</v>
      </c>
      <c r="K54" s="1441">
        <f t="shared" si="1"/>
        <v>217.6</v>
      </c>
      <c r="L54" s="1420">
        <f>L18</f>
        <v>217.6</v>
      </c>
      <c r="M54" s="696"/>
      <c r="N54" s="794">
        <f ca="1">_xlfn.XLOOKUP(D54,Décomposition!D:D,Décomposition!T:T)</f>
        <v>32.505359999999996</v>
      </c>
      <c r="O54" s="794">
        <f t="shared" ca="1" si="0"/>
        <v>0.5417559999999999</v>
      </c>
      <c r="P54" s="670">
        <f>_xlfn.XMATCH(D54,Décomposition!D:D)</f>
        <v>234</v>
      </c>
    </row>
    <row r="55" spans="2:16">
      <c r="B55" s="1861"/>
      <c r="C55" s="1859"/>
      <c r="D55" s="1419" t="s">
        <v>464</v>
      </c>
      <c r="E55" s="1608"/>
      <c r="F55" s="1470" t="str">
        <f>IF(H55=0, G55, H55)</f>
        <v>Enduit en plâtre et en ciment</v>
      </c>
      <c r="G55" s="1419" t="str">
        <f>'Eléments de constr. inté. et ex'!A156</f>
        <v>Enduit en plâtre et en ciment</v>
      </c>
      <c r="H55" s="166"/>
      <c r="I55" s="513" t="s">
        <v>404</v>
      </c>
      <c r="J55" s="1428" t="s">
        <v>87</v>
      </c>
      <c r="K55" s="1552">
        <f t="shared" si="1"/>
        <v>231.8</v>
      </c>
      <c r="L55" s="1436">
        <f>SUM(L31:L33)</f>
        <v>231.8</v>
      </c>
      <c r="M55" s="696"/>
      <c r="N55" s="794">
        <f ca="1">_xlfn.XLOOKUP(D55,Décomposition!D:D,Décomposition!T:T)</f>
        <v>34.626573750000006</v>
      </c>
      <c r="O55" s="794">
        <f t="shared" ca="1" si="0"/>
        <v>0.57710956250000012</v>
      </c>
      <c r="P55" s="670">
        <f>_xlfn.XMATCH(D55,Décomposition!D:D)</f>
        <v>240</v>
      </c>
    </row>
    <row r="56" spans="2:16">
      <c r="B56" s="1861"/>
      <c r="C56" s="1857" t="s">
        <v>465</v>
      </c>
      <c r="D56" s="1465" t="s">
        <v>466</v>
      </c>
      <c r="E56" s="1616"/>
      <c r="F56" s="1446"/>
      <c r="G56" s="1465"/>
      <c r="H56" s="653"/>
      <c r="I56" s="654"/>
      <c r="J56" s="1431"/>
      <c r="K56" s="1443"/>
      <c r="L56" s="1439"/>
      <c r="M56" s="652"/>
      <c r="N56" s="1446"/>
      <c r="O56" s="1446"/>
      <c r="P56" s="672">
        <f>_xlfn.XMATCH(D56,Décomposition!D:D)</f>
        <v>246</v>
      </c>
    </row>
    <row r="57" spans="2:16">
      <c r="B57" s="1861"/>
      <c r="C57" s="1858"/>
      <c r="D57" s="1419" t="s">
        <v>467</v>
      </c>
      <c r="E57" s="1608"/>
      <c r="F57" s="1470" t="str">
        <f>IF(H57=0, G57, H57)</f>
        <v>Enduit en plâtre et chaux, avec sous construction</v>
      </c>
      <c r="G57" s="1419" t="str" cm="1">
        <f t="array" ref="G57">_xlfn.SWITCH(F26,Liste!E45,Liste!M63,Liste!E47,Liste!M63,Liste!M64)</f>
        <v>Enduit en plâtre et chaux, avec sous construction</v>
      </c>
      <c r="H57" s="163"/>
      <c r="I57" s="297" t="s">
        <v>404</v>
      </c>
      <c r="J57" s="1423" t="s">
        <v>87</v>
      </c>
      <c r="K57" s="1441">
        <f t="shared" si="1"/>
        <v>80</v>
      </c>
      <c r="L57" s="1420">
        <f>L26</f>
        <v>80</v>
      </c>
      <c r="M57" s="696"/>
      <c r="N57" s="794">
        <f ca="1">_xlfn.XLOOKUP(D57,Décomposition!D:D,Décomposition!T:T)</f>
        <v>5.0409185000000001</v>
      </c>
      <c r="O57" s="794">
        <f t="shared" ca="1" si="0"/>
        <v>8.401530833333333E-2</v>
      </c>
      <c r="P57" s="670">
        <f>_xlfn.XMATCH(D57,Décomposition!D:D)</f>
        <v>247</v>
      </c>
    </row>
    <row r="58" spans="2:16" ht="16.5" thickBot="1">
      <c r="B58" s="1862"/>
      <c r="C58" s="1863"/>
      <c r="D58" s="1466" t="s">
        <v>468</v>
      </c>
      <c r="E58" s="1617"/>
      <c r="F58" s="257" t="str">
        <f>IF(H58=0, G58, H58)</f>
        <v>Enduit en plâtre et chaux, avec sous construction</v>
      </c>
      <c r="G58" s="1792" t="str">
        <f>IF(F36=Liste!C63,Liste!M63,Liste!M64)</f>
        <v>Enduit en plâtre et chaux, avec sous construction</v>
      </c>
      <c r="H58" s="640"/>
      <c r="I58" s="641" t="s">
        <v>404</v>
      </c>
      <c r="J58" s="639" t="s">
        <v>87</v>
      </c>
      <c r="K58" s="671">
        <f t="shared" si="1"/>
        <v>80</v>
      </c>
      <c r="L58" s="1551">
        <f>L47</f>
        <v>80</v>
      </c>
      <c r="M58" s="697"/>
      <c r="N58" s="794">
        <f ca="1">_xlfn.XLOOKUP(D58,Décomposition!D:D,Décomposition!T:T)</f>
        <v>5.0409185000000001</v>
      </c>
      <c r="O58" s="794">
        <f t="shared" ca="1" si="0"/>
        <v>8.401530833333333E-2</v>
      </c>
      <c r="P58" s="671">
        <f>_xlfn.XMATCH(D58,Décomposition!D:D)</f>
        <v>252</v>
      </c>
    </row>
    <row r="59" spans="2:16" ht="15.75" customHeight="1">
      <c r="B59" s="1860" t="s">
        <v>469</v>
      </c>
      <c r="C59" s="1864" t="s">
        <v>470</v>
      </c>
      <c r="D59" s="676" t="s">
        <v>2854</v>
      </c>
      <c r="E59" s="1613"/>
      <c r="F59" s="635"/>
      <c r="G59" s="676"/>
      <c r="H59" s="636"/>
      <c r="I59" s="637"/>
      <c r="J59" s="634"/>
      <c r="K59" s="635"/>
      <c r="L59" s="676"/>
      <c r="M59" s="634"/>
      <c r="N59" s="635"/>
      <c r="O59" s="635"/>
      <c r="P59" s="1034">
        <f>_xlfn.XMATCH(D59,Décomposition!D:D)</f>
        <v>257</v>
      </c>
    </row>
    <row r="60" spans="2:16">
      <c r="B60" s="1861"/>
      <c r="C60" s="1858"/>
      <c r="D60" s="1419" t="s">
        <v>471</v>
      </c>
      <c r="E60" s="1608"/>
      <c r="F60" s="1470" t="str">
        <f>IF(H60=0, G60, H60)</f>
        <v>Installation électriques habitation</v>
      </c>
      <c r="G60" s="1419" t="str">
        <f>IF('Outil simplifié'!$D$9=Liste!A5, Installations!A4,Installations!A3)</f>
        <v>Installation électriques habitation</v>
      </c>
      <c r="H60" s="164"/>
      <c r="I60" s="164" t="s">
        <v>251</v>
      </c>
      <c r="J60" s="1423" t="s">
        <v>87</v>
      </c>
      <c r="K60" s="1441">
        <f t="shared" si="1"/>
        <v>160</v>
      </c>
      <c r="L60" s="1420">
        <f>'Outil simplifié'!$D$12</f>
        <v>160</v>
      </c>
      <c r="M60" s="696"/>
      <c r="N60" s="794">
        <f>_xlfn.XLOOKUP(D60,Décomposition!D:D,Décomposition!T:T)</f>
        <v>25.92</v>
      </c>
      <c r="O60" s="794">
        <f t="shared" si="0"/>
        <v>0.43200000000000005</v>
      </c>
      <c r="P60" s="670">
        <f>_xlfn.XMATCH(D60,Décomposition!D:D)</f>
        <v>258</v>
      </c>
    </row>
    <row r="61" spans="2:16">
      <c r="B61" s="1861"/>
      <c r="C61" s="1859"/>
      <c r="D61" s="1419" t="s">
        <v>472</v>
      </c>
      <c r="E61" s="1608"/>
      <c r="F61" s="1470" t="str">
        <f>IF(H61=0, G61, H61)</f>
        <v>Installation photovoltaique (1 m2 = 0.14 kWp)</v>
      </c>
      <c r="G61" s="1419" t="str">
        <f>Installations!A5</f>
        <v>Installation photovoltaique (1 m2 = 0.14 kWp)</v>
      </c>
      <c r="H61" s="164"/>
      <c r="I61" s="164" t="s">
        <v>473</v>
      </c>
      <c r="J61" s="1423" t="s">
        <v>93</v>
      </c>
      <c r="K61" s="1441">
        <f t="shared" si="1"/>
        <v>0</v>
      </c>
      <c r="L61" s="1420">
        <f>'Outil simplifié'!J18</f>
        <v>0</v>
      </c>
      <c r="M61" s="696"/>
      <c r="N61" s="794">
        <f>_xlfn.XLOOKUP(D61,Décomposition!D:D,Décomposition!T:T)</f>
        <v>0</v>
      </c>
      <c r="O61" s="794">
        <f t="shared" si="0"/>
        <v>0</v>
      </c>
      <c r="P61" s="670">
        <f>_xlfn.XMATCH(D61,Décomposition!D:D)</f>
        <v>259</v>
      </c>
    </row>
    <row r="62" spans="2:16">
      <c r="B62" s="1861"/>
      <c r="C62" s="1857" t="s">
        <v>474</v>
      </c>
      <c r="D62" s="1434" t="s">
        <v>918</v>
      </c>
      <c r="E62" s="1611"/>
      <c r="F62" s="1444"/>
      <c r="G62" s="1434"/>
      <c r="H62" s="162"/>
      <c r="I62" s="161"/>
      <c r="J62" s="1427"/>
      <c r="K62" s="1444"/>
      <c r="L62" s="1434"/>
      <c r="M62" s="160"/>
      <c r="N62" s="1444"/>
      <c r="O62" s="1444"/>
      <c r="P62" s="1033">
        <f>_xlfn.XMATCH(D62,Décomposition!D:D)</f>
        <v>260</v>
      </c>
    </row>
    <row r="63" spans="2:16">
      <c r="B63" s="1861"/>
      <c r="C63" s="1858"/>
      <c r="D63" s="1419" t="s">
        <v>257</v>
      </c>
      <c r="E63" s="1608"/>
      <c r="F63" s="1470" t="str">
        <f>IF(H63=0, G63, H63)</f>
        <v>Pompe à chaleur saumure-eau 15 kW</v>
      </c>
      <c r="G63" s="1419" t="str" cm="1">
        <f t="array" ref="G63">_xlfn.SWITCH('Outil simplifié'!J13,Liste!C3,Liste!A81,Liste!C4,Liste!A82,Liste!A77)</f>
        <v>Pompe à chaleur saumure-eau 15 kW</v>
      </c>
      <c r="H63" s="163"/>
      <c r="I63" s="297" t="s">
        <v>251</v>
      </c>
      <c r="J63" s="1423" t="s">
        <v>87</v>
      </c>
      <c r="K63" s="1441">
        <f t="shared" si="1"/>
        <v>160</v>
      </c>
      <c r="L63" s="1420">
        <f>'Outil simplifié'!$D$12</f>
        <v>160</v>
      </c>
      <c r="M63" s="696"/>
      <c r="N63" s="794">
        <f>_xlfn.XLOOKUP(D63,Décomposition!D:D,Décomposition!T:T)</f>
        <v>0.35777947420315515</v>
      </c>
      <c r="O63" s="794">
        <f t="shared" si="0"/>
        <v>5.9629912367192527E-3</v>
      </c>
      <c r="P63" s="670">
        <f>_xlfn.XMATCH(D63,Décomposition!D:D)</f>
        <v>261</v>
      </c>
    </row>
    <row r="64" spans="2:16">
      <c r="B64" s="1861"/>
      <c r="C64" s="1858"/>
      <c r="D64" s="1419" t="s">
        <v>475</v>
      </c>
      <c r="E64" s="1608"/>
      <c r="F64" s="1470" t="str">
        <f>IF(H64=0, G64, H64)</f>
        <v>Distribution et émission de chaleur habitation</v>
      </c>
      <c r="G64" s="1419" t="str">
        <f>IF('Outil simplifié'!$D$9=Liste!A5,Installations!A32, Installations!A28)</f>
        <v>Distribution et émission de chaleur habitation</v>
      </c>
      <c r="H64" s="164"/>
      <c r="I64" s="164" t="s">
        <v>251</v>
      </c>
      <c r="J64" s="1423" t="s">
        <v>87</v>
      </c>
      <c r="K64" s="1441">
        <f t="shared" si="1"/>
        <v>160</v>
      </c>
      <c r="L64" s="1420">
        <f>'Outil simplifié'!$D$12</f>
        <v>160</v>
      </c>
      <c r="M64" s="696"/>
      <c r="N64" s="794" cm="1">
        <f t="array" ref="N64">_xlfn.XLOOKUP(D64,Décomposition!D:D,Décomposition!T:T)+_xlfn.XLOOKUP(D64,Décomposition!D:D,Décomposition!T:T+1)</f>
        <v>14.860000000000003</v>
      </c>
      <c r="O64" s="794">
        <f t="shared" si="0"/>
        <v>0.24766666666666673</v>
      </c>
      <c r="P64" s="670">
        <f>_xlfn.XMATCH(D64,Décomposition!D:D)</f>
        <v>262</v>
      </c>
    </row>
    <row r="65" spans="2:16">
      <c r="B65" s="1861"/>
      <c r="C65" s="1858"/>
      <c r="D65" s="1419" t="s">
        <v>325</v>
      </c>
      <c r="E65" s="1608"/>
      <c r="F65" s="1470" t="str">
        <f>IF(H65=0, G65, H65)</f>
        <v>Sondes géothermiques</v>
      </c>
      <c r="G65" s="1419" t="str">
        <f>Installations!A36</f>
        <v>Sondes géothermiques</v>
      </c>
      <c r="H65" s="164"/>
      <c r="I65" s="297" t="s">
        <v>251</v>
      </c>
      <c r="J65" s="1423" t="s">
        <v>87</v>
      </c>
      <c r="K65" s="1441">
        <f t="shared" si="1"/>
        <v>300</v>
      </c>
      <c r="L65" s="1420">
        <f>IF('Outil simplifié'!J13=Liste!C3, 'Outil simplifié'!J14, 0)</f>
        <v>300</v>
      </c>
      <c r="M65" s="696"/>
      <c r="N65" s="794">
        <f>_xlfn.XLOOKUP(D65,Décomposition!D:D,Décomposition!T:T)</f>
        <v>21.806249999999999</v>
      </c>
      <c r="O65" s="794">
        <f t="shared" si="0"/>
        <v>0.36343749999999997</v>
      </c>
      <c r="P65" s="670">
        <f>_xlfn.XMATCH(D65,Décomposition!D:D)</f>
        <v>264</v>
      </c>
    </row>
    <row r="66" spans="2:16">
      <c r="B66" s="1861"/>
      <c r="C66" s="1859"/>
      <c r="D66" s="1419" t="s">
        <v>97</v>
      </c>
      <c r="E66" s="1608"/>
      <c r="F66" s="1470" t="str">
        <f>IF(H66=0, G66, H66)</f>
        <v>Capteurs solaires</v>
      </c>
      <c r="G66" s="1419" t="str">
        <f>Installations!A38</f>
        <v>Capteurs solaires</v>
      </c>
      <c r="H66" s="164"/>
      <c r="I66" s="297" t="s">
        <v>404</v>
      </c>
      <c r="J66" s="1423" t="s">
        <v>87</v>
      </c>
      <c r="K66" s="1441">
        <f t="shared" si="1"/>
        <v>2</v>
      </c>
      <c r="L66" s="1420">
        <f>'Outil simplifié'!J20</f>
        <v>2</v>
      </c>
      <c r="M66" s="696"/>
      <c r="N66" s="794">
        <f>_xlfn.XLOOKUP(D66,Décomposition!D:D,Décomposition!T:T)</f>
        <v>4.2</v>
      </c>
      <c r="O66" s="794">
        <f t="shared" si="0"/>
        <v>7.0000000000000007E-2</v>
      </c>
      <c r="P66" s="670">
        <f>_xlfn.XMATCH(D66,Décomposition!D:D)</f>
        <v>265</v>
      </c>
    </row>
    <row r="67" spans="2:16">
      <c r="B67" s="1861"/>
      <c r="C67" s="1857" t="s">
        <v>476</v>
      </c>
      <c r="D67" s="1434" t="s">
        <v>477</v>
      </c>
      <c r="E67" s="1611"/>
      <c r="F67" s="1444"/>
      <c r="G67" s="1434"/>
      <c r="H67" s="162"/>
      <c r="I67" s="161"/>
      <c r="J67" s="1427"/>
      <c r="K67" s="1444"/>
      <c r="L67" s="1434"/>
      <c r="M67" s="160"/>
      <c r="N67" s="1444"/>
      <c r="O67" s="1444"/>
      <c r="P67" s="1033">
        <f>_xlfn.XMATCH(D67,Décomposition!D:D)</f>
        <v>266</v>
      </c>
    </row>
    <row r="68" spans="2:16">
      <c r="B68" s="1861"/>
      <c r="C68" s="1858"/>
      <c r="D68" s="1419" t="s">
        <v>478</v>
      </c>
      <c r="E68" s="1608"/>
      <c r="F68" s="1470" t="str">
        <f>IF(H68=0, G68, H68)</f>
        <v>Extraction mécanique cuisine et salle de bain</v>
      </c>
      <c r="G68" s="1419" t="str">
        <f>Installations!A41</f>
        <v>Extraction mécanique cuisine et salle de bain</v>
      </c>
      <c r="H68" s="164"/>
      <c r="I68" s="164" t="s">
        <v>251</v>
      </c>
      <c r="J68" s="1423" t="s">
        <v>87</v>
      </c>
      <c r="K68" s="1441">
        <f t="shared" si="1"/>
        <v>160</v>
      </c>
      <c r="L68" s="1420">
        <f>'Outil simplifié'!$D$12</f>
        <v>160</v>
      </c>
      <c r="M68" s="696"/>
      <c r="N68" s="794">
        <f>_xlfn.XLOOKUP(D68,Décomposition!D:D,Décomposition!T:T)</f>
        <v>7.2899999999999991</v>
      </c>
      <c r="O68" s="794">
        <f t="shared" si="0"/>
        <v>0.12149999999999998</v>
      </c>
      <c r="P68" s="670">
        <f>_xlfn.XMATCH(D68,Décomposition!D:D)</f>
        <v>267</v>
      </c>
    </row>
    <row r="69" spans="2:16">
      <c r="B69" s="1861"/>
      <c r="C69" s="1859"/>
      <c r="D69" s="1419" t="s">
        <v>479</v>
      </c>
      <c r="E69" s="1608"/>
      <c r="F69" s="1470" t="str">
        <f>IF(H69=0, G69, H69)</f>
        <v>Système de ventilation habitation</v>
      </c>
      <c r="G69" s="1419" t="str">
        <f>IF('Outil simplifié'!$D$9=Liste!A5,Installations!A43,Installations!A42)</f>
        <v>Système de ventilation habitation</v>
      </c>
      <c r="H69" s="164"/>
      <c r="I69" s="164" t="s">
        <v>251</v>
      </c>
      <c r="J69" s="1423" t="s">
        <v>87</v>
      </c>
      <c r="K69" s="1441">
        <f t="shared" si="1"/>
        <v>160</v>
      </c>
      <c r="L69" s="1420">
        <f>'Outil simplifié'!$D$12</f>
        <v>160</v>
      </c>
      <c r="M69" s="696"/>
      <c r="N69" s="794">
        <f>_xlfn.XLOOKUP(D69,Décomposition!D:D,Décomposition!T:T)</f>
        <v>29.875999999999998</v>
      </c>
      <c r="O69" s="794">
        <f t="shared" ref="O69:O75" si="3">N69/60</f>
        <v>0.49793333333333328</v>
      </c>
      <c r="P69" s="670">
        <f>_xlfn.XMATCH(D69,Décomposition!D:D)</f>
        <v>268</v>
      </c>
    </row>
    <row r="70" spans="2:16">
      <c r="B70" s="1861"/>
      <c r="C70" s="1857" t="s">
        <v>480</v>
      </c>
      <c r="D70" s="1434" t="s">
        <v>481</v>
      </c>
      <c r="E70" s="1611"/>
      <c r="F70" s="1444"/>
      <c r="G70" s="1434"/>
      <c r="H70" s="162"/>
      <c r="I70" s="161"/>
      <c r="J70" s="1427"/>
      <c r="K70" s="1444"/>
      <c r="L70" s="1434"/>
      <c r="M70" s="160"/>
      <c r="N70" s="1444"/>
      <c r="O70" s="1444"/>
      <c r="P70" s="1033">
        <f>_xlfn.XMATCH(D70,Décomposition!D:D)</f>
        <v>269</v>
      </c>
    </row>
    <row r="71" spans="2:16" ht="16.5" thickBot="1">
      <c r="B71" s="1861"/>
      <c r="C71" s="1866"/>
      <c r="D71" s="699" t="s">
        <v>482</v>
      </c>
      <c r="E71" s="1612"/>
      <c r="F71" s="1562" t="str">
        <f>IF(H71=0, G71, H71)</f>
        <v>Installation sanitaire habitation</v>
      </c>
      <c r="G71" s="1372" t="str">
        <f>IF('Outil simplifié'!$D$9=Liste!A5,Installations!A48, Installations!A47)</f>
        <v>Installation sanitaire habitation</v>
      </c>
      <c r="H71" s="1401"/>
      <c r="I71" s="1401" t="s">
        <v>251</v>
      </c>
      <c r="J71" s="1422" t="s">
        <v>87</v>
      </c>
      <c r="K71" s="1442">
        <f t="shared" ref="K71:K83" si="4">IF(ISBLANK(M71), L71, M71)</f>
        <v>160</v>
      </c>
      <c r="L71" s="1418">
        <f>'Outil simplifié'!$D$12</f>
        <v>160</v>
      </c>
      <c r="M71" s="1563"/>
      <c r="N71" s="794">
        <f>Décomposition!T270</f>
        <v>25.08</v>
      </c>
      <c r="O71" s="794">
        <f t="shared" si="3"/>
        <v>0.41799999999999998</v>
      </c>
      <c r="P71" s="673">
        <f>_xlfn.XMATCH(D71,Décomposition!D:D)</f>
        <v>270</v>
      </c>
    </row>
    <row r="72" spans="2:16" ht="15.75" customHeight="1">
      <c r="B72" s="1860" t="s">
        <v>3957</v>
      </c>
      <c r="C72" s="1864" t="s">
        <v>3758</v>
      </c>
      <c r="D72" s="676" t="s">
        <v>3759</v>
      </c>
      <c r="E72" s="1613"/>
      <c r="F72" s="635"/>
      <c r="G72" s="676"/>
      <c r="H72" s="636"/>
      <c r="I72" s="637"/>
      <c r="J72" s="634"/>
      <c r="K72" s="635"/>
      <c r="L72" s="676"/>
      <c r="M72" s="634"/>
      <c r="N72" s="635"/>
      <c r="O72" s="1605"/>
      <c r="P72" s="1034">
        <f>_xlfn.XMATCH(D72,Décomposition!D:D)</f>
        <v>271</v>
      </c>
    </row>
    <row r="73" spans="2:16">
      <c r="B73" s="1861"/>
      <c r="C73" s="1858"/>
      <c r="D73" s="1019" t="str">
        <f>'Outil simplifié'!B43</f>
        <v>Revêtement parking</v>
      </c>
      <c r="E73" s="1614"/>
      <c r="F73" s="1562" t="str">
        <f>IF(H73=0, G73, H73)</f>
        <v>Revêt. bit. simple</v>
      </c>
      <c r="G73" s="1239" t="str">
        <f>IF(ISBLANK('Outil simplifié'!D43),'Outil simplifié'!C43,'Outil simplifié'!D43)</f>
        <v>Revêt. bit. simple</v>
      </c>
      <c r="H73" s="1578"/>
      <c r="I73" s="1401" t="s">
        <v>3781</v>
      </c>
      <c r="J73" s="1019" t="s">
        <v>87</v>
      </c>
      <c r="K73" s="1556" t="str">
        <f t="shared" si="4"/>
        <v>0</v>
      </c>
      <c r="L73" s="1557" t="str">
        <f>IF(ISBLANK('Outil simplifié'!D19),'Outil simplifié'!C19,'Outil simplifié'!D19)</f>
        <v>0</v>
      </c>
      <c r="M73" s="3"/>
      <c r="N73" s="794">
        <f ca="1">_xlfn.XLOOKUP(D73,Décomposition!D:D,Décomposition!T:T)</f>
        <v>0</v>
      </c>
      <c r="O73" s="1604">
        <f t="shared" ca="1" si="3"/>
        <v>0</v>
      </c>
      <c r="P73" s="1442">
        <f>_xlfn.XMATCH(D73,Décomposition!D:D)</f>
        <v>272</v>
      </c>
    </row>
    <row r="74" spans="2:16">
      <c r="B74" s="1861"/>
      <c r="C74" s="1858"/>
      <c r="D74" s="1019" t="str">
        <f>'Outil simplifié'!B44</f>
        <v>Revêtement construit 1</v>
      </c>
      <c r="E74" s="1608"/>
      <c r="F74" s="1562" t="str">
        <f>IF(H74=0, G74, H74)</f>
        <v>Gravier</v>
      </c>
      <c r="G74" s="1793" t="str">
        <f>IF(ISBLANK('Outil simplifié'!D44),'Outil simplifié'!C44,'Outil simplifié'!D44)</f>
        <v>Gravier</v>
      </c>
      <c r="H74" s="1403"/>
      <c r="I74" s="1404" t="s">
        <v>3781</v>
      </c>
      <c r="J74" s="1419" t="s">
        <v>87</v>
      </c>
      <c r="K74" s="1441">
        <f t="shared" si="4"/>
        <v>0</v>
      </c>
      <c r="L74" s="1425">
        <f>'Outil simplifié'!D20</f>
        <v>0</v>
      </c>
      <c r="M74" s="1421"/>
      <c r="N74" s="794">
        <f ca="1">_xlfn.XLOOKUP(D74,Décomposition!D:D,Décomposition!T:T)</f>
        <v>0</v>
      </c>
      <c r="O74" s="1604">
        <f t="shared" ca="1" si="3"/>
        <v>0</v>
      </c>
      <c r="P74" s="1553">
        <f>_xlfn.XMATCH(D74,Décomposition!D:D)</f>
        <v>278</v>
      </c>
    </row>
    <row r="75" spans="2:16" ht="16.5" thickBot="1">
      <c r="B75" s="1862"/>
      <c r="C75" s="1863"/>
      <c r="D75" s="1376" t="str">
        <f>'Outil simplifié'!B45</f>
        <v>Revêtement construit 2</v>
      </c>
      <c r="E75" s="1618"/>
      <c r="F75" s="257" t="str">
        <f>IF(H75=0, G75, H75)</f>
        <v>Béton</v>
      </c>
      <c r="G75" s="1375" t="str">
        <f>IF(ISBLANK('Outil simplifié'!D45),'Outil simplifié'!C45,'Outil simplifié'!D45)</f>
        <v>Béton</v>
      </c>
      <c r="H75" s="1579"/>
      <c r="I75" s="1424" t="s">
        <v>3781</v>
      </c>
      <c r="J75" s="1376" t="s">
        <v>87</v>
      </c>
      <c r="K75" s="1554">
        <f t="shared" si="4"/>
        <v>0</v>
      </c>
      <c r="L75" s="1426">
        <f>'Outil simplifié'!D21</f>
        <v>0</v>
      </c>
      <c r="M75" s="1377"/>
      <c r="N75" s="795">
        <f ca="1">_xlfn.XLOOKUP(D75,Décomposition!D:D,Décomposition!T:T)</f>
        <v>0</v>
      </c>
      <c r="O75" s="1606">
        <f t="shared" ca="1" si="3"/>
        <v>0</v>
      </c>
      <c r="P75" s="1554">
        <f>_xlfn.XMATCH(D75,Décomposition!D:D)</f>
        <v>284</v>
      </c>
    </row>
    <row r="76" spans="2:16" ht="15.75" customHeight="1">
      <c r="B76" s="1860" t="s">
        <v>46</v>
      </c>
      <c r="C76" s="1378"/>
      <c r="D76" s="676" t="s">
        <v>3927</v>
      </c>
      <c r="E76" s="635"/>
      <c r="F76" s="635"/>
      <c r="G76" s="1800"/>
      <c r="H76" s="1799"/>
      <c r="I76" s="637"/>
      <c r="J76" s="634"/>
      <c r="K76" s="635">
        <f t="shared" si="4"/>
        <v>0</v>
      </c>
      <c r="L76" s="676"/>
      <c r="M76" s="634"/>
      <c r="N76" s="635"/>
      <c r="O76" s="635"/>
      <c r="P76" s="1034"/>
    </row>
    <row r="77" spans="2:16" ht="18" customHeight="1">
      <c r="B77" s="1861"/>
      <c r="C77" s="1379"/>
      <c r="D77" s="1468" t="s">
        <v>334</v>
      </c>
      <c r="E77" s="1471"/>
      <c r="F77" s="1796"/>
      <c r="G77" s="1801"/>
      <c r="H77" s="1019"/>
      <c r="I77" s="297" t="s">
        <v>251</v>
      </c>
      <c r="J77" s="1423" t="s">
        <v>306</v>
      </c>
      <c r="K77" s="1555">
        <f t="shared" si="4"/>
        <v>46.800000000000004</v>
      </c>
      <c r="L77" s="1440" cm="1">
        <f t="array" ref="L77">_xlfn.SWITCH('Outil simplifié'!$J$21,Exploitation!$B$38,Exploitation!B39,Exploitation!$C$38,Exploitation!C39,Exploitation!$D$38,Exploitation!D39,Exploitation!$E$38,Exploitation!E39)</f>
        <v>46.800000000000004</v>
      </c>
      <c r="M77" s="3"/>
      <c r="N77" s="794">
        <f>Exploitation!I10*60</f>
        <v>123.80594400024353</v>
      </c>
      <c r="O77" s="794">
        <f t="shared" ref="O77:O84" si="5">N77/60</f>
        <v>2.0634324000040589</v>
      </c>
      <c r="P77" s="1374"/>
    </row>
    <row r="78" spans="2:16">
      <c r="B78" s="1861"/>
      <c r="C78" s="1379"/>
      <c r="D78" s="1468" t="s">
        <v>3799</v>
      </c>
      <c r="E78" s="1471"/>
      <c r="F78" s="1796"/>
      <c r="G78" s="1801"/>
      <c r="H78" s="1019"/>
      <c r="I78" s="297" t="s">
        <v>251</v>
      </c>
      <c r="J78" s="1423" t="s">
        <v>306</v>
      </c>
      <c r="K78" s="1555">
        <f t="shared" si="4"/>
        <v>16</v>
      </c>
      <c r="L78" s="1440" cm="1">
        <f t="array" ref="L78">_xlfn.SWITCH('Outil simplifié'!$J$21,Exploitation!$B$38,Exploitation!B40,Exploitation!$C$38,Exploitation!C40,Exploitation!$D$38,Exploitation!D40,Exploitation!$E$38,Exploitation!E40)</f>
        <v>16</v>
      </c>
      <c r="M78" s="3"/>
      <c r="N78" s="794">
        <f>Exploitation!I11*60</f>
        <v>28.819444444444443</v>
      </c>
      <c r="O78" s="794">
        <f t="shared" si="5"/>
        <v>0.48032407407407407</v>
      </c>
      <c r="P78" s="1374"/>
    </row>
    <row r="79" spans="2:16">
      <c r="B79" s="1861"/>
      <c r="C79" s="1379"/>
      <c r="D79" s="1468" t="s">
        <v>254</v>
      </c>
      <c r="E79" s="1471"/>
      <c r="F79" s="1796"/>
      <c r="G79" s="1801"/>
      <c r="H79" s="1019"/>
      <c r="I79" s="297" t="s">
        <v>251</v>
      </c>
      <c r="J79" s="1423" t="s">
        <v>306</v>
      </c>
      <c r="K79" s="1555">
        <f t="shared" si="4"/>
        <v>3</v>
      </c>
      <c r="L79" s="1440" cm="1">
        <f t="array" ref="L79">_xlfn.SWITCH('Outil simplifié'!$J$21,Exploitation!$B$38,Exploitation!B41,Exploitation!$C$38,Exploitation!C41,Exploitation!$D$38,Exploitation!D41,Exploitation!$E$38,Exploitation!E41)</f>
        <v>3</v>
      </c>
      <c r="M79" s="3"/>
      <c r="N79" s="794">
        <f>Exploitation!I12*60</f>
        <v>22.5</v>
      </c>
      <c r="O79" s="794">
        <f t="shared" si="5"/>
        <v>0.375</v>
      </c>
      <c r="P79" s="1374"/>
    </row>
    <row r="80" spans="2:16">
      <c r="B80" s="1861"/>
      <c r="C80" s="1379"/>
      <c r="D80" s="1468" t="s">
        <v>324</v>
      </c>
      <c r="E80" s="1471"/>
      <c r="F80" s="1796"/>
      <c r="G80" s="1801"/>
      <c r="H80" s="1019"/>
      <c r="I80" s="297" t="s">
        <v>251</v>
      </c>
      <c r="J80" s="1423" t="s">
        <v>306</v>
      </c>
      <c r="K80" s="1555">
        <f t="shared" si="4"/>
        <v>4</v>
      </c>
      <c r="L80" s="1440" cm="1">
        <f t="array" ref="L80">_xlfn.SWITCH('Outil simplifié'!$J$21,Exploitation!$B$38,Exploitation!B42,Exploitation!$C$38,Exploitation!C42,Exploitation!$D$38,Exploitation!D42,Exploitation!$E$38,Exploitation!E42)</f>
        <v>4</v>
      </c>
      <c r="M80" s="3"/>
      <c r="N80" s="794">
        <f>Exploitation!I13*60</f>
        <v>30</v>
      </c>
      <c r="O80" s="794">
        <f t="shared" si="5"/>
        <v>0.5</v>
      </c>
      <c r="P80" s="1374"/>
    </row>
    <row r="81" spans="2:16">
      <c r="B81" s="1861"/>
      <c r="C81" s="1379"/>
      <c r="D81" s="1468" t="s">
        <v>326</v>
      </c>
      <c r="E81" s="1471"/>
      <c r="F81" s="1796"/>
      <c r="G81" s="1801"/>
      <c r="H81" s="1019"/>
      <c r="I81" s="297" t="s">
        <v>251</v>
      </c>
      <c r="J81" s="1423" t="s">
        <v>306</v>
      </c>
      <c r="K81" s="1555">
        <f t="shared" si="4"/>
        <v>2</v>
      </c>
      <c r="L81" s="1440" cm="1">
        <f t="array" ref="L81">_xlfn.SWITCH('Outil simplifié'!$J$21,Exploitation!$B$38,Exploitation!B43,Exploitation!$C$38,Exploitation!C43,Exploitation!$D$38,Exploitation!D43,Exploitation!$E$38,Exploitation!E43)</f>
        <v>2</v>
      </c>
      <c r="M81" s="3"/>
      <c r="N81" s="794">
        <f>Exploitation!I14*60</f>
        <v>15</v>
      </c>
      <c r="O81" s="794">
        <f t="shared" si="5"/>
        <v>0.25</v>
      </c>
      <c r="P81" s="1374"/>
    </row>
    <row r="82" spans="2:16">
      <c r="B82" s="1861"/>
      <c r="C82" s="1379"/>
      <c r="D82" s="1468" t="s">
        <v>329</v>
      </c>
      <c r="E82" s="1471"/>
      <c r="F82" s="1796"/>
      <c r="G82" s="1801"/>
      <c r="H82" s="1019"/>
      <c r="I82" s="297" t="s">
        <v>251</v>
      </c>
      <c r="J82" s="1423" t="s">
        <v>306</v>
      </c>
      <c r="K82" s="1555">
        <f t="shared" si="4"/>
        <v>15</v>
      </c>
      <c r="L82" s="1440" cm="1">
        <f t="array" ref="L82">_xlfn.SWITCH('Outil simplifié'!$J$21,Exploitation!$B$38,Exploitation!B44,Exploitation!$C$38,Exploitation!C44,Exploitation!$D$38,Exploitation!D44,Exploitation!$E$38,Exploitation!E44)</f>
        <v>15</v>
      </c>
      <c r="M82" s="3"/>
      <c r="N82" s="794">
        <f>Exploitation!I15*60</f>
        <v>112.5</v>
      </c>
      <c r="O82" s="794">
        <f t="shared" si="5"/>
        <v>1.875</v>
      </c>
      <c r="P82" s="1374"/>
    </row>
    <row r="83" spans="2:16" ht="16.5" thickBot="1">
      <c r="B83" s="1862"/>
      <c r="C83" s="1380"/>
      <c r="D83" s="1768" t="s">
        <v>330</v>
      </c>
      <c r="E83" s="1373"/>
      <c r="F83" s="1797"/>
      <c r="G83" s="1802"/>
      <c r="H83" s="701"/>
      <c r="I83" s="1404" t="s">
        <v>251</v>
      </c>
      <c r="J83" s="1423" t="s">
        <v>306</v>
      </c>
      <c r="K83" s="1555">
        <f t="shared" si="4"/>
        <v>0</v>
      </c>
      <c r="L83" s="1440" cm="1">
        <f t="array" ref="L83">_xlfn.SWITCH('Outil simplifié'!$J$21,Exploitation!$B$38,Exploitation!B45,Exploitation!$C$38,Exploitation!C45,Exploitation!$D$38,Exploitation!D45,Exploitation!$E$38,Exploitation!E45)</f>
        <v>0</v>
      </c>
      <c r="M83" s="1771"/>
      <c r="N83" s="1772">
        <f>Exploitation!I16*60</f>
        <v>0</v>
      </c>
      <c r="O83" s="1772">
        <f t="shared" si="5"/>
        <v>0</v>
      </c>
      <c r="P83" s="1773"/>
    </row>
    <row r="84" spans="2:16" ht="16.5" thickBot="1">
      <c r="B84" s="1766"/>
      <c r="C84" s="1767"/>
      <c r="D84" s="1469" t="s">
        <v>4440</v>
      </c>
      <c r="E84" s="1472"/>
      <c r="F84" s="1798" t="str">
        <f>F63</f>
        <v>Pompe à chaleur saumure-eau 15 kW</v>
      </c>
      <c r="G84" s="1803"/>
      <c r="H84" s="1376"/>
      <c r="I84" s="1424"/>
      <c r="J84" s="1804"/>
      <c r="K84" s="1769"/>
      <c r="L84" s="1770"/>
      <c r="M84" s="1376"/>
      <c r="N84" s="795">
        <f>Exploitation!I23*60</f>
        <v>40.53</v>
      </c>
      <c r="O84" s="795">
        <f t="shared" si="5"/>
        <v>0.67549999999999999</v>
      </c>
      <c r="P84" s="1554"/>
    </row>
    <row r="85" spans="2:16">
      <c r="B85" s="1237"/>
      <c r="C85" s="1238"/>
      <c r="D85" s="1019"/>
      <c r="E85" s="1019"/>
      <c r="F85" s="1019"/>
      <c r="G85" s="1239"/>
      <c r="H85" s="1019"/>
      <c r="I85" s="1019"/>
      <c r="J85" s="1019"/>
      <c r="K85" s="1147"/>
      <c r="L85" s="1147"/>
      <c r="M85" s="1019"/>
      <c r="P85" s="1147"/>
    </row>
    <row r="86" spans="2:16">
      <c r="B86" s="1237"/>
      <c r="C86" s="1238"/>
      <c r="D86" s="1019"/>
      <c r="E86" s="1019"/>
      <c r="F86" s="1019"/>
      <c r="G86" s="1239"/>
      <c r="H86" s="1019"/>
      <c r="I86" s="1019"/>
      <c r="J86" s="1019"/>
      <c r="K86" s="1147"/>
      <c r="L86" s="1147"/>
      <c r="M86" s="1019"/>
      <c r="N86" s="1021"/>
      <c r="O86" s="1021"/>
      <c r="P86" s="1147"/>
    </row>
    <row r="87" spans="2:16">
      <c r="B87" s="1473" t="s">
        <v>3974</v>
      </c>
      <c r="C87" s="1238"/>
      <c r="D87" s="1019"/>
      <c r="E87" s="1019"/>
      <c r="F87" s="1019"/>
      <c r="G87" s="1239"/>
      <c r="H87" s="1019"/>
      <c r="I87" s="1019"/>
      <c r="J87" s="1019"/>
      <c r="K87" s="1147"/>
      <c r="L87" s="1147"/>
      <c r="M87" s="1019"/>
      <c r="N87" s="1021"/>
      <c r="O87" s="1021"/>
      <c r="P87" s="1147"/>
    </row>
    <row r="88" spans="2:16">
      <c r="B88" s="1237"/>
      <c r="C88" s="1238"/>
      <c r="D88" s="1019"/>
      <c r="E88" s="1019"/>
      <c r="F88" s="1019"/>
      <c r="G88" s="1239"/>
      <c r="H88" s="1019"/>
      <c r="I88" s="1019"/>
      <c r="J88" s="1019"/>
      <c r="K88" s="1147"/>
      <c r="L88" s="1147"/>
      <c r="M88" s="1019"/>
      <c r="N88" s="1021"/>
      <c r="O88" s="1021"/>
      <c r="P88" s="1147"/>
    </row>
    <row r="89" spans="2:16">
      <c r="B89" s="1237"/>
      <c r="C89" s="1238"/>
      <c r="D89" s="1019"/>
      <c r="E89" s="1019"/>
      <c r="F89" s="1019"/>
      <c r="G89" s="1239"/>
      <c r="H89" s="1019"/>
      <c r="I89" s="1019"/>
      <c r="J89" s="1019"/>
      <c r="K89" s="1147"/>
      <c r="L89" s="1147"/>
      <c r="M89" s="1019"/>
      <c r="N89" s="1021"/>
      <c r="O89" s="1021"/>
      <c r="P89" s="1147"/>
    </row>
    <row r="90" spans="2:16" s="932" customFormat="1">
      <c r="B90" s="1325"/>
      <c r="C90" s="1326"/>
      <c r="D90" s="1560"/>
    </row>
    <row r="91" spans="2:16" ht="28.5" customHeight="1">
      <c r="B91" s="1865" t="s">
        <v>3641</v>
      </c>
      <c r="C91" s="1865"/>
    </row>
    <row r="92" spans="2:16">
      <c r="B92" s="1026"/>
    </row>
    <row r="93" spans="2:16">
      <c r="B93" s="1026"/>
    </row>
    <row r="94" spans="2:16">
      <c r="B94" s="1026"/>
    </row>
    <row r="95" spans="2:16">
      <c r="B95" s="1026"/>
    </row>
  </sheetData>
  <dataConsolidate/>
  <customSheetViews>
    <customSheetView guid="{B32447E2-AB5B-4CBB-881B-FF11349CA4D6}" scale="55">
      <selection activeCell="B3" sqref="B3:D49"/>
      <pageMargins left="0" right="0" top="0" bottom="0" header="0" footer="0"/>
    </customSheetView>
    <customSheetView guid="{9FA74287-E657-475B-BF4B-3C8C757714AE}" scale="55">
      <selection activeCell="B3" sqref="B3:D49"/>
      <pageMargins left="0" right="0" top="0" bottom="0" header="0" footer="0"/>
    </customSheetView>
    <customSheetView guid="{54A7C567-FA7D-467E-B353-ECB5E61AE756}" scale="70">
      <selection activeCell="G16" sqref="G16"/>
      <pageMargins left="0" right="0" top="0" bottom="0" header="0" footer="0"/>
    </customSheetView>
  </customSheetViews>
  <mergeCells count="31">
    <mergeCell ref="B91:C91"/>
    <mergeCell ref="C25:C26"/>
    <mergeCell ref="C34:C37"/>
    <mergeCell ref="C70:C71"/>
    <mergeCell ref="C62:C66"/>
    <mergeCell ref="B59:B71"/>
    <mergeCell ref="C56:C58"/>
    <mergeCell ref="C59:C61"/>
    <mergeCell ref="B72:B75"/>
    <mergeCell ref="B76:B83"/>
    <mergeCell ref="C13:C14"/>
    <mergeCell ref="C15:C16"/>
    <mergeCell ref="C30:C33"/>
    <mergeCell ref="C19:C21"/>
    <mergeCell ref="C72:C75"/>
    <mergeCell ref="B2:C2"/>
    <mergeCell ref="C44:C52"/>
    <mergeCell ref="C40:C41"/>
    <mergeCell ref="C67:C69"/>
    <mergeCell ref="B30:B58"/>
    <mergeCell ref="B17:B29"/>
    <mergeCell ref="C27:C29"/>
    <mergeCell ref="C42:C43"/>
    <mergeCell ref="C53:C55"/>
    <mergeCell ref="B5:B9"/>
    <mergeCell ref="C10:C12"/>
    <mergeCell ref="C5:C9"/>
    <mergeCell ref="C22:C24"/>
    <mergeCell ref="C38:C39"/>
    <mergeCell ref="C17:C18"/>
    <mergeCell ref="B10:B16"/>
  </mergeCells>
  <phoneticPr fontId="68" type="noConversion"/>
  <conditionalFormatting sqref="N77:N84">
    <cfRule type="colorScale" priority="4">
      <colorScale>
        <cfvo type="min"/>
        <cfvo type="percentile" val="50"/>
        <cfvo type="max"/>
        <color rgb="FF63BE7B"/>
        <color rgb="FFFFEB84"/>
        <color rgb="FFF8696B"/>
      </colorScale>
    </cfRule>
  </conditionalFormatting>
  <conditionalFormatting sqref="N86:N89 N6:N9 N71 N11:N12 N14 N16 N18 N23:N24 N26 N28:N29 N31:N33 N35:N37 N39 N41 N43 N54:N55 N57:N58 N60:N61 N63:N66 N68:N69 N20:N21 N45:N52 N73:N75">
    <cfRule type="colorScale" priority="1057">
      <colorScale>
        <cfvo type="min"/>
        <cfvo type="percentile" val="50"/>
        <cfvo type="max"/>
        <color rgb="FF63BE7B"/>
        <color rgb="FFFFEB84"/>
        <color rgb="FFF8696B"/>
      </colorScale>
    </cfRule>
  </conditionalFormatting>
  <conditionalFormatting sqref="O77:O83">
    <cfRule type="colorScale" priority="2">
      <colorScale>
        <cfvo type="min"/>
        <cfvo type="percentile" val="50"/>
        <cfvo type="max"/>
        <color rgb="FF63BE7B"/>
        <color rgb="FFFFEB84"/>
        <color rgb="FFF8696B"/>
      </colorScale>
    </cfRule>
  </conditionalFormatting>
  <conditionalFormatting sqref="O86:O89 O6:O9 O71 O11:O12 O14 O16 O18 O23:O24 O26 O28:O29 O31:O33 O35:O37 O39 O41 O43 O54:O55 O57:O58 O60:O61 O63:O66 O68:O69 O20:O21 O45:O52 O73:O75">
    <cfRule type="colorScale" priority="3">
      <colorScale>
        <cfvo type="min"/>
        <cfvo type="percentile" val="50"/>
        <cfvo type="max"/>
        <color rgb="FF63BE7B"/>
        <color rgb="FFFFEB84"/>
        <color rgb="FFF8696B"/>
      </colorScale>
    </cfRule>
  </conditionalFormatting>
  <conditionalFormatting sqref="O84">
    <cfRule type="colorScale" priority="1">
      <colorScale>
        <cfvo type="min"/>
        <cfvo type="percentile" val="50"/>
        <cfvo type="max"/>
        <color rgb="FF63BE7B"/>
        <color rgb="FFFFEB84"/>
        <color rgb="FFF8696B"/>
      </colorScale>
    </cfRule>
  </conditionalFormatting>
  <dataValidations count="2">
    <dataValidation allowBlank="1" showInputMessage="1" sqref="G54 G18:G19" xr:uid="{BFFF6045-745F-466D-9C2A-C7DBB287E8B8}"/>
    <dataValidation type="list" allowBlank="1" showInputMessage="1" showErrorMessage="1" sqref="G14 G16 H42" xr:uid="{8B0F6B27-889C-47B4-A7CD-CE8690D31EB0}">
      <formula1>#REF!</formula1>
    </dataValidation>
  </dataValidations>
  <pageMargins left="0" right="0" top="0" bottom="0" header="0" footer="0"/>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7">
        <x14:dataValidation type="list" allowBlank="1" showInputMessage="1" showErrorMessage="1" xr:uid="{37FB1D6C-9E84-45B3-849F-7083D1832860}">
          <x14:formula1>
            <xm:f>_xlfn.ANCHORARRAY(Liste!$A$63)</xm:f>
          </x14:formula1>
          <xm:sqref>H31 H33</xm:sqref>
        </x14:dataValidation>
        <x14:dataValidation type="list" allowBlank="1" showInputMessage="1" showErrorMessage="1" xr:uid="{20FB85B4-2E92-42F8-BDFC-A1176CEED503}">
          <x14:formula1>
            <xm:f>_xlfn.ANCHORARRAY(Liste!$A$25)</xm:f>
          </x14:formula1>
          <xm:sqref>H7</xm:sqref>
        </x14:dataValidation>
        <x14:dataValidation type="list" allowBlank="1" showInputMessage="1" xr:uid="{DB14EC50-2722-45B3-930B-A049E57D64F7}">
          <x14:formula1>
            <xm:f>_xlfn.ANCHORARRAY(Liste!$A$45)</xm:f>
          </x14:formula1>
          <xm:sqref>H18</xm:sqref>
        </x14:dataValidation>
        <x14:dataValidation type="list" allowBlank="1" showInputMessage="1" showErrorMessage="1" xr:uid="{B25AE0C3-86B1-4477-86DC-1D2B4766E444}">
          <x14:formula1>
            <xm:f>_xlfn.ANCHORARRAY(Liste!$C$34)</xm:f>
          </x14:formula1>
          <xm:sqref>H16</xm:sqref>
        </x14:dataValidation>
        <x14:dataValidation type="list" allowBlank="1" showInputMessage="1" showErrorMessage="1" xr:uid="{B8FEE7B9-74FB-444A-81CB-8FF3D7A2714B}">
          <x14:formula1>
            <xm:f>_xlfn.ANCHORARRAY(Liste!$B$25)</xm:f>
          </x14:formula1>
          <xm:sqref>H8:H9</xm:sqref>
        </x14:dataValidation>
        <x14:dataValidation type="list" allowBlank="1" showInputMessage="1" showErrorMessage="1" xr:uid="{9255AD66-FEE8-435F-A0E4-D5709F27E073}">
          <x14:formula1>
            <xm:f>_xlfn.ANCHORARRAY(Liste!$A$34)</xm:f>
          </x14:formula1>
          <xm:sqref>H12</xm:sqref>
        </x14:dataValidation>
        <x14:dataValidation type="list" showInputMessage="1" showErrorMessage="1" xr:uid="{2C3A937B-74CE-430E-9712-181EB2BDAAD2}">
          <x14:formula1>
            <xm:f>_xlfn.ANCHORARRAY(Liste!$B$34)</xm:f>
          </x14:formula1>
          <xm:sqref>H14</xm:sqref>
        </x14:dataValidation>
        <x14:dataValidation type="list" allowBlank="1" showInputMessage="1" showErrorMessage="1" xr:uid="{51ABD325-7006-4390-B9BC-8459441D9C41}">
          <x14:formula1>
            <xm:f>_xlfn.ANCHORARRAY(Liste!$B$45)</xm:f>
          </x14:formula1>
          <xm:sqref>H20</xm:sqref>
        </x14:dataValidation>
        <x14:dataValidation type="list" allowBlank="1" showInputMessage="1" showErrorMessage="1" xr:uid="{47F25BDA-304A-40C9-A2F8-38E871763BD0}">
          <x14:formula1>
            <xm:f>_xlfn.ANCHORARRAY(Liste!$C$45)</xm:f>
          </x14:formula1>
          <xm:sqref>H23</xm:sqref>
        </x14:dataValidation>
        <x14:dataValidation type="list" allowBlank="1" showInputMessage="1" showErrorMessage="1" xr:uid="{F476638B-5DBD-47C9-A130-8B3D5EA94D15}">
          <x14:formula1>
            <xm:f>_xlfn.ANCHORARRAY(Liste!$E$45)</xm:f>
          </x14:formula1>
          <xm:sqref>H26</xm:sqref>
        </x14:dataValidation>
        <x14:dataValidation type="list" allowBlank="1" showInputMessage="1" showErrorMessage="1" xr:uid="{DD7B536E-DB3E-4324-AB7C-6D8A8B35B848}">
          <x14:formula1>
            <xm:f>_xlfn.ANCHORARRAY(Liste!$D$45)</xm:f>
          </x14:formula1>
          <xm:sqref>H24</xm:sqref>
        </x14:dataValidation>
        <x14:dataValidation type="list" allowBlank="1" showInputMessage="1" showErrorMessage="1" xr:uid="{27E4E0D7-427A-45AC-9EEF-37E3425E51AC}">
          <x14:formula1>
            <xm:f>_xlfn.ANCHORARRAY(Liste!$F$45)</xm:f>
          </x14:formula1>
          <xm:sqref>H28</xm:sqref>
        </x14:dataValidation>
        <x14:dataValidation type="list" allowBlank="1" showInputMessage="1" showErrorMessage="1" xr:uid="{2917518C-479E-4B94-B08F-5220FF4CA3CA}">
          <x14:formula1>
            <xm:f>_xlfn.ANCHORARRAY(Liste!$C$63)</xm:f>
          </x14:formula1>
          <xm:sqref>H35:H37</xm:sqref>
        </x14:dataValidation>
        <x14:dataValidation type="list" allowBlank="1" showInputMessage="1" showErrorMessage="1" xr:uid="{53DA59CE-8395-4797-A76D-80ACA4FF647F}">
          <x14:formula1>
            <xm:f>_xlfn.ANCHORARRAY(Liste!$D$63)</xm:f>
          </x14:formula1>
          <xm:sqref>H39:H40 H42:H43</xm:sqref>
        </x14:dataValidation>
        <x14:dataValidation type="list" allowBlank="1" showInputMessage="1" showErrorMessage="1" xr:uid="{1EDB31E2-D742-4270-886F-84463D05689D}">
          <x14:formula1>
            <xm:f>_xlfn.ANCHORARRAY(Liste!$E$63)</xm:f>
          </x14:formula1>
          <xm:sqref>H41</xm:sqref>
        </x14:dataValidation>
        <x14:dataValidation type="list" allowBlank="1" showInputMessage="1" showErrorMessage="1" xr:uid="{D09F4452-D413-43E7-91C4-769F431F2244}">
          <x14:formula1>
            <xm:f>_xlfn.ANCHORARRAY(Liste!$F$63)</xm:f>
          </x14:formula1>
          <xm:sqref>H43</xm:sqref>
        </x14:dataValidation>
        <x14:dataValidation type="list" allowBlank="1" showInputMessage="1" showErrorMessage="1" xr:uid="{D6E472F3-AFBF-42F8-88EA-1088326B74CC}">
          <x14:formula1>
            <xm:f>_xlfn.ANCHORARRAY(Liste!$M$63)</xm:f>
          </x14:formula1>
          <xm:sqref>H57:H58</xm:sqref>
        </x14:dataValidation>
        <x14:dataValidation type="list" allowBlank="1" showInputMessage="1" showErrorMessage="1" xr:uid="{382D27C0-8696-4104-A2C7-11DFE718DA7F}">
          <x14:formula1>
            <xm:f>_xlfn.ANCHORARRAY(Liste!$L$63)</xm:f>
          </x14:formula1>
          <xm:sqref>H54:H55</xm:sqref>
        </x14:dataValidation>
        <x14:dataValidation type="list" allowBlank="1" showInputMessage="1" showErrorMessage="1" xr:uid="{FACF2229-49EC-4411-9234-D20CB618D568}">
          <x14:formula1>
            <xm:f>_xlfn.ANCHORARRAY(Liste!$G$63)</xm:f>
          </x14:formula1>
          <xm:sqref>H45 H47 H49</xm:sqref>
        </x14:dataValidation>
        <x14:dataValidation type="list" allowBlank="1" showInputMessage="1" showErrorMessage="1" xr:uid="{35177609-1C99-473A-8715-AD7800E81447}">
          <x14:formula1>
            <xm:f>_xlfn.ANCHORARRAY(Liste!$G$45)</xm:f>
          </x14:formula1>
          <xm:sqref>H29</xm:sqref>
        </x14:dataValidation>
        <x14:dataValidation type="list" allowBlank="1" showInputMessage="1" showErrorMessage="1" xr:uid="{EEA7A208-68ED-42D9-9B7A-AC3DD55D7BD9}">
          <x14:formula1>
            <xm:f>_xlfn.ANCHORARRAY(Liste!$J$63)</xm:f>
          </x14:formula1>
          <xm:sqref>H52</xm:sqref>
        </x14:dataValidation>
        <x14:dataValidation type="list" allowBlank="1" showInputMessage="1" showErrorMessage="1" xr:uid="{A5EB4A90-B4F9-409B-A50D-790C792FF204}">
          <x14:formula1>
            <xm:f>_xlfn.ANCHORARRAY(Liste!$I$45)</xm:f>
          </x14:formula1>
          <xm:sqref>H21</xm:sqref>
        </x14:dataValidation>
        <x14:dataValidation type="list" allowBlank="1" showInputMessage="1" showErrorMessage="1" xr:uid="{86F78D03-53FC-45B5-8E3D-57CE129C70DF}">
          <x14:formula1>
            <xm:f>_xlfn.ANCHORARRAY(Liste!$H$63)</xm:f>
          </x14:formula1>
          <xm:sqref>H46 H48 H50</xm:sqref>
        </x14:dataValidation>
        <x14:dataValidation type="list" allowBlank="1" showInputMessage="1" showErrorMessage="1" xr:uid="{D03F535A-507A-47BF-B8FB-9EC62C1CB8E2}">
          <x14:formula1>
            <xm:f>_xlfn.ANCHORARRAY(Liste!$I$63)</xm:f>
          </x14:formula1>
          <xm:sqref>H51</xm:sqref>
        </x14:dataValidation>
        <x14:dataValidation type="list" allowBlank="1" showInputMessage="1" showErrorMessage="1" xr:uid="{147E58B8-C3CC-47B7-9329-882BCF2B9F4F}">
          <x14:formula1>
            <xm:f>_xlfn.ANCHORARRAY(Liste!$B$63)</xm:f>
          </x14:formula1>
          <xm:sqref>H32</xm:sqref>
        </x14:dataValidation>
        <x14:dataValidation type="list" allowBlank="1" showInputMessage="1" showErrorMessage="1" xr:uid="{AEB843BD-D30D-4162-B378-C7272829873F}">
          <x14:formula1>
            <xm:f>_xlfn.ANCHORARRAY(Liste!$B$89)</xm:f>
          </x14:formula1>
          <xm:sqref>H73:H75</xm:sqref>
        </x14:dataValidation>
        <x14:dataValidation type="list" allowBlank="1" showInputMessage="1" showErrorMessage="1" xr:uid="{85C49895-A34D-446A-AE58-7E6A6024EE89}">
          <x14:formula1>
            <xm:f>_xlfn.ANCHORARRAY(Liste!A$76)</xm:f>
          </x14:formula1>
          <xm:sqref>H63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F759-913F-4C4A-A017-8D19E580682A}">
  <sheetPr codeName="Feuil13">
    <tabColor theme="8"/>
    <pageSetUpPr autoPageBreaks="0"/>
  </sheetPr>
  <dimension ref="A1:AB721"/>
  <sheetViews>
    <sheetView workbookViewId="0"/>
  </sheetViews>
  <sheetFormatPr baseColWidth="10" defaultColWidth="11.25" defaultRowHeight="23.25" outlineLevelRow="1" outlineLevelCol="2"/>
  <cols>
    <col min="1" max="1" width="5.75" style="258" customWidth="1"/>
    <col min="2" max="2" width="13.625" style="1053" customWidth="1"/>
    <col min="3" max="3" width="13.25" style="661" customWidth="1"/>
    <col min="4" max="4" width="41.875" style="258" customWidth="1"/>
    <col min="5" max="5" width="39" style="258" customWidth="1" outlineLevel="2"/>
    <col min="6" max="6" width="9.75" style="258" customWidth="1" outlineLevel="2"/>
    <col min="7" max="7" width="52" style="258" customWidth="1" outlineLevel="2"/>
    <col min="8" max="8" width="31.625" style="258" customWidth="1"/>
    <col min="9" max="9" width="9.75" style="258" hidden="1" customWidth="1" outlineLevel="1"/>
    <col min="10" max="10" width="5.125" style="258" hidden="1" customWidth="1" outlineLevel="1"/>
    <col min="11" max="12" width="11.25" style="258" hidden="1" customWidth="1" outlineLevel="1"/>
    <col min="13" max="13" width="14.125" style="258" hidden="1" customWidth="1" outlineLevel="1"/>
    <col min="14" max="14" width="14.125" style="1634" hidden="1" customWidth="1" outlineLevel="1"/>
    <col min="15" max="15" width="13" style="886" hidden="1" customWidth="1" outlineLevel="1" collapsed="1"/>
    <col min="16" max="17" width="13" hidden="1" customWidth="1" outlineLevel="1"/>
    <col min="18" max="18" width="13" style="256" hidden="1" customWidth="1" outlineLevel="1"/>
    <col min="19" max="19" width="13" hidden="1" customWidth="1" outlineLevel="1"/>
    <col min="20" max="20" width="19.5" style="258" customWidth="1" collapsed="1"/>
    <col min="21" max="21" width="22" style="831" customWidth="1"/>
    <col min="22" max="22" width="13" style="886" hidden="1" customWidth="1" outlineLevel="1"/>
    <col min="23" max="24" width="13" hidden="1" customWidth="1" outlineLevel="1"/>
    <col min="25" max="25" width="13" style="256" hidden="1" customWidth="1" outlineLevel="1"/>
    <col min="26" max="26" width="13" hidden="1" customWidth="1" outlineLevel="1"/>
    <col min="27" max="28" width="17.5" style="831" customWidth="1" collapsed="1"/>
    <col min="29" max="16384" width="11.25" style="258"/>
  </cols>
  <sheetData>
    <row r="1" spans="1:28" s="1002" customFormat="1" ht="24" thickBot="1">
      <c r="A1" s="1540" t="s">
        <v>483</v>
      </c>
      <c r="B1" s="1541"/>
      <c r="C1" s="1542"/>
      <c r="H1" s="1002" t="s">
        <v>251</v>
      </c>
      <c r="I1" s="1543">
        <f>'Outil simplifié'!D12</f>
        <v>160</v>
      </c>
      <c r="L1" s="1544"/>
      <c r="N1" s="1619"/>
      <c r="O1" s="1879" t="s">
        <v>3987</v>
      </c>
      <c r="P1" s="1880"/>
      <c r="Q1" s="1880"/>
      <c r="R1" s="1880"/>
      <c r="S1" s="1880"/>
      <c r="T1" s="1880"/>
      <c r="U1" s="1382"/>
      <c r="V1" s="1877" t="s">
        <v>3951</v>
      </c>
      <c r="W1" s="1877"/>
      <c r="X1" s="1877"/>
      <c r="Y1" s="1877"/>
      <c r="Z1" s="1877"/>
      <c r="AA1" s="1878"/>
      <c r="AB1" s="1002" t="s">
        <v>4447</v>
      </c>
    </row>
    <row r="2" spans="1:28" s="833" customFormat="1" ht="63">
      <c r="B2" s="1533" t="s">
        <v>390</v>
      </c>
      <c r="C2" s="1482" t="s">
        <v>484</v>
      </c>
      <c r="D2" s="1534" t="s">
        <v>392</v>
      </c>
      <c r="E2" s="1534" t="s">
        <v>485</v>
      </c>
      <c r="F2" s="1534" t="s">
        <v>486</v>
      </c>
      <c r="G2" s="1534" t="s">
        <v>487</v>
      </c>
      <c r="H2" s="1534" t="s">
        <v>488</v>
      </c>
      <c r="I2" s="1534" t="s">
        <v>489</v>
      </c>
      <c r="J2" s="1535" t="s">
        <v>396</v>
      </c>
      <c r="K2" s="1534" t="s">
        <v>490</v>
      </c>
      <c r="L2" s="1536" t="s">
        <v>491</v>
      </c>
      <c r="M2" s="1537" t="s">
        <v>492</v>
      </c>
      <c r="N2" s="1620" t="str">
        <f>'Outil détaillé'!E4</f>
        <v>Pourcentage de matériel réutilisé d'un autre projet(1)</v>
      </c>
      <c r="O2" s="1538" t="s">
        <v>3757</v>
      </c>
      <c r="P2" s="1484" t="s">
        <v>3642</v>
      </c>
      <c r="Q2" s="1484" t="s">
        <v>3644</v>
      </c>
      <c r="R2" s="1484" t="s">
        <v>3643</v>
      </c>
      <c r="S2" s="1484" t="s">
        <v>493</v>
      </c>
      <c r="T2" s="1536" t="s">
        <v>3928</v>
      </c>
      <c r="U2" s="1539" t="s">
        <v>3770</v>
      </c>
      <c r="V2" s="1663" t="s">
        <v>3757</v>
      </c>
      <c r="W2" s="1664" t="s">
        <v>3983</v>
      </c>
      <c r="X2" s="1664" t="s">
        <v>3984</v>
      </c>
      <c r="Y2" s="1664" t="s">
        <v>3985</v>
      </c>
      <c r="Z2" s="1664" t="s">
        <v>493</v>
      </c>
      <c r="AA2" s="1665" t="s">
        <v>3986</v>
      </c>
      <c r="AB2" s="1665"/>
    </row>
    <row r="3" spans="1:28" ht="17.25" customHeight="1" thickBot="1">
      <c r="B3" s="1054"/>
      <c r="C3" s="817"/>
      <c r="D3" s="1036"/>
      <c r="E3" s="1036"/>
      <c r="F3" s="1036"/>
      <c r="G3" s="1037"/>
      <c r="H3" s="1036"/>
      <c r="I3" s="1036"/>
      <c r="J3" s="1038"/>
      <c r="K3" s="1037"/>
      <c r="L3" s="1039"/>
      <c r="M3" s="1517"/>
      <c r="N3" s="1621"/>
      <c r="O3" s="1485" t="s">
        <v>261</v>
      </c>
      <c r="P3">
        <v>20</v>
      </c>
      <c r="Q3">
        <v>30</v>
      </c>
      <c r="R3" s="256">
        <v>40</v>
      </c>
      <c r="S3" t="s">
        <v>494</v>
      </c>
      <c r="U3" s="1529" t="s">
        <v>495</v>
      </c>
      <c r="V3" s="1485" t="s">
        <v>261</v>
      </c>
      <c r="W3">
        <v>20</v>
      </c>
      <c r="X3">
        <v>30</v>
      </c>
      <c r="Y3" s="256">
        <v>40</v>
      </c>
      <c r="Z3" t="s">
        <v>494</v>
      </c>
    </row>
    <row r="4" spans="1:28" ht="15.75">
      <c r="B4" s="1870" t="s">
        <v>38</v>
      </c>
      <c r="C4" s="1876" t="str">
        <f>'Outil détaillé'!C5</f>
        <v>B06 / B07.02</v>
      </c>
      <c r="D4" s="636" t="str">
        <f>'Outil détaillé'!D5</f>
        <v>Fouilles</v>
      </c>
      <c r="E4" s="636"/>
      <c r="F4" s="636"/>
      <c r="G4" s="636"/>
      <c r="H4" s="636"/>
      <c r="I4" s="636"/>
      <c r="J4" s="638"/>
      <c r="K4" s="637"/>
      <c r="L4" s="1040"/>
      <c r="M4" s="1518"/>
      <c r="N4" s="1622"/>
      <c r="O4" s="1486">
        <f>O5+O8+O10+O12</f>
        <v>18.349318559466511</v>
      </c>
      <c r="P4" s="1041">
        <f t="shared" ref="P4:R4" si="0">P5+P8+P10+P12</f>
        <v>0</v>
      </c>
      <c r="Q4" s="1041">
        <f t="shared" si="0"/>
        <v>0</v>
      </c>
      <c r="R4" s="1041">
        <f t="shared" si="0"/>
        <v>0</v>
      </c>
      <c r="S4" s="1041">
        <f>S5+S8+S10+S12</f>
        <v>0</v>
      </c>
      <c r="T4" s="1041">
        <f>SUM(O4:S4)</f>
        <v>18.349318559466511</v>
      </c>
      <c r="U4" s="1487">
        <f>U5+U8+U10+U12</f>
        <v>0</v>
      </c>
      <c r="V4" s="1486">
        <f>V5+V8+V10+V12</f>
        <v>6.4282363559439171</v>
      </c>
      <c r="W4" s="1041">
        <f t="shared" ref="W4:Y4" si="1">W5+W8+W10+W12</f>
        <v>0</v>
      </c>
      <c r="X4" s="1041">
        <f t="shared" si="1"/>
        <v>0</v>
      </c>
      <c r="Y4" s="1041">
        <f t="shared" si="1"/>
        <v>0</v>
      </c>
      <c r="Z4" s="1041">
        <f>Z5+Z8+Z10+Z12</f>
        <v>0</v>
      </c>
      <c r="AA4" s="1487">
        <f>SUM(V4:Z4)</f>
        <v>6.4282363559439171</v>
      </c>
      <c r="AB4" s="1487"/>
    </row>
    <row r="5" spans="1:28" ht="15.75">
      <c r="B5" s="1871"/>
      <c r="C5" s="1874"/>
      <c r="D5" s="163" t="str">
        <f>'Outil détaillé'!D6</f>
        <v>Excavations</v>
      </c>
      <c r="E5" s="657" t="str">
        <f>'Outil détaillé'!$F$6</f>
        <v>Aushub / Excavation</v>
      </c>
      <c r="F5" s="164">
        <f>MATCH(E5, 'Travaux préparatoires'!A:A,0)</f>
        <v>4</v>
      </c>
      <c r="G5" s="164"/>
      <c r="H5" s="164"/>
      <c r="I5" s="164"/>
      <c r="J5" s="164" t="s">
        <v>269</v>
      </c>
      <c r="K5" s="270">
        <f>'Outil détaillé'!K6</f>
        <v>500.34501033599196</v>
      </c>
      <c r="L5" s="271"/>
      <c r="M5" s="1467"/>
      <c r="N5" s="1623"/>
      <c r="O5" s="1488">
        <f>SUM(O6:O7)</f>
        <v>18.006166059466512</v>
      </c>
      <c r="P5" s="1489">
        <f t="shared" ref="P5:R5" si="2">SUM(P6:P6)</f>
        <v>0</v>
      </c>
      <c r="Q5" s="1489">
        <f t="shared" si="2"/>
        <v>0</v>
      </c>
      <c r="R5" s="1489">
        <f t="shared" si="2"/>
        <v>0</v>
      </c>
      <c r="S5" s="1489">
        <f>SUM(S6:S6)</f>
        <v>0</v>
      </c>
      <c r="T5" s="1489">
        <f>SUM(T6:T7)</f>
        <v>18.006166059466512</v>
      </c>
      <c r="U5" s="1490">
        <f>SUM(U6:U6)</f>
        <v>0</v>
      </c>
      <c r="V5" s="1488">
        <f>SUM(V6:V7)</f>
        <v>5.1285363559439174</v>
      </c>
      <c r="W5" s="1489">
        <f t="shared" ref="W5:Y5" si="3">SUM(W6:W6)</f>
        <v>0</v>
      </c>
      <c r="X5" s="1489">
        <f t="shared" si="3"/>
        <v>0</v>
      </c>
      <c r="Y5" s="1489">
        <f t="shared" si="3"/>
        <v>0</v>
      </c>
      <c r="Z5" s="1489">
        <f>SUM(Z6:Z6)</f>
        <v>0</v>
      </c>
      <c r="AA5" s="1490">
        <f>SUM(AA6:AA7)</f>
        <v>5.1285363559439174</v>
      </c>
      <c r="AB5" s="1490"/>
    </row>
    <row r="6" spans="1:28" ht="15.75" outlineLevel="1">
      <c r="B6" s="1871"/>
      <c r="C6" s="1874"/>
      <c r="D6" s="163"/>
      <c r="E6" s="261"/>
      <c r="F6" s="163">
        <f>IF(I6=0,2,F5+1)</f>
        <v>5</v>
      </c>
      <c r="G6" s="164" t="str">
        <f>'Travaux préparatoires'!B4</f>
        <v>Aushub maschinell / Excavation mécanique</v>
      </c>
      <c r="H6" s="164" t="str" cm="1">
        <f t="array" ref="H6">INDEX('Travaux préparatoires'!D:D, $F5)</f>
        <v>Vol.excavation</v>
      </c>
      <c r="I6" s="164" t="str" cm="1">
        <f t="array" ref="I6">INDEX('Travaux préparatoires'!G:G, $F5)</f>
        <v>62.001</v>
      </c>
      <c r="J6" s="163" t="s">
        <v>269</v>
      </c>
      <c r="K6" s="283">
        <f>K5*M6</f>
        <v>500.34501033599196</v>
      </c>
      <c r="L6" s="283">
        <f>Hypothèses!D54</f>
        <v>60</v>
      </c>
      <c r="M6" cm="1">
        <f t="array" ref="M6">INDEX('Travaux préparatoires'!H:H, $F5)</f>
        <v>1</v>
      </c>
      <c r="N6" s="1299">
        <f>'Outil détaillé'!E7</f>
        <v>0</v>
      </c>
      <c r="O6" s="1491" cm="1">
        <f t="array" ref="O6">IFERROR(($K6*INDEX('Travaux préparatoires'!M:M, $F5)),0)/$I$1*(1-0.8*N6)</f>
        <v>1.3540586842217783</v>
      </c>
      <c r="P6" s="1492">
        <f>IF($L6=P$3,$O6+$S6,0)</f>
        <v>0</v>
      </c>
      <c r="Q6" s="1493">
        <f>IF($L6=Q$3,$O6+$S6,0)</f>
        <v>0</v>
      </c>
      <c r="R6" s="1052" cm="1">
        <f t="array" ref="R6">_xlfn.SWITCH(L6,R$3,O6+S6,P$3,P6,0)</f>
        <v>0</v>
      </c>
      <c r="S6" s="1416" cm="1">
        <f t="array" ref="S6">IFERROR(($K6*INDEX('Travaux préparatoires'!N:N, $F5)),0)/$I$1</f>
        <v>0</v>
      </c>
      <c r="T6" s="1411">
        <f>SUM(O6:S6)</f>
        <v>1.3540586842217783</v>
      </c>
      <c r="U6" s="1530">
        <v>0</v>
      </c>
      <c r="V6" s="1491" cm="1">
        <f t="array" ref="V6">IFERROR(($K6*INDEX('Travaux préparatoires'!K:K, $F5)),0)/$I$1</f>
        <v>5.1285363559439174</v>
      </c>
      <c r="W6" s="1492">
        <f>IF($L6=W$3,$V6+$Z6,0)</f>
        <v>0</v>
      </c>
      <c r="X6" s="1493">
        <f>IF($L6=X$3,$V6+$Z6,0)</f>
        <v>0</v>
      </c>
      <c r="Y6" s="1052" cm="1">
        <f t="array" ref="Y6">_xlfn.SWITCH(T6,Y$3,V6+Z6,W$3,W6,0)</f>
        <v>0</v>
      </c>
      <c r="Z6" s="1416" cm="1">
        <f t="array" ref="Z6">IFERROR(($K6*INDEX('Travaux préparatoires'!L:L, $F5)),0)/$I$1</f>
        <v>0</v>
      </c>
      <c r="AA6" s="1460">
        <f>SUM(V6:Z6)</f>
        <v>5.1285363559439174</v>
      </c>
      <c r="AB6" s="1460"/>
    </row>
    <row r="7" spans="1:28" ht="15.75" outlineLevel="1">
      <c r="B7" s="1871"/>
      <c r="C7" s="1874"/>
      <c r="D7" s="163"/>
      <c r="E7" s="261"/>
      <c r="F7" s="163"/>
      <c r="G7" s="164" t="s">
        <v>496</v>
      </c>
      <c r="H7" s="164"/>
      <c r="I7" s="164" t="s">
        <v>497</v>
      </c>
      <c r="J7" s="163" t="s">
        <v>498</v>
      </c>
      <c r="K7" s="283">
        <f>30*K6*1250/1000</f>
        <v>18762.937887599699</v>
      </c>
      <c r="L7" s="283">
        <v>60</v>
      </c>
      <c r="M7" s="1519"/>
      <c r="N7" s="1624">
        <f>'Outil détaillé'!E7</f>
        <v>0</v>
      </c>
      <c r="O7" s="1494">
        <f>K7*'Transporte Transports'!V35/$I$1*(1-0.8*N7)</f>
        <v>16.652107375244732</v>
      </c>
      <c r="P7" s="1495"/>
      <c r="Q7" s="1406"/>
      <c r="R7" s="1496"/>
      <c r="S7" s="1497"/>
      <c r="T7" s="1411">
        <f>SUM(O7:S7)</f>
        <v>16.652107375244732</v>
      </c>
      <c r="U7" s="1530"/>
      <c r="V7" s="1494">
        <f>S7*'Transporte Transports'!AC35/$I$1*(1-0.8*N7)</f>
        <v>0</v>
      </c>
      <c r="W7" s="1495"/>
      <c r="X7" s="1406"/>
      <c r="Y7" s="1496"/>
      <c r="Z7" s="1497"/>
      <c r="AA7" s="1460">
        <f>SUM(V7:Z7)</f>
        <v>0</v>
      </c>
      <c r="AB7" s="1460"/>
    </row>
    <row r="8" spans="1:28" ht="15.75">
      <c r="B8" s="1871"/>
      <c r="C8" s="1874"/>
      <c r="D8" s="163" t="str">
        <f>'Outil détaillé'!D7</f>
        <v xml:space="preserve">Enceintes de fouilles </v>
      </c>
      <c r="E8" s="164">
        <f>'Outil détaillé'!F7</f>
        <v>0</v>
      </c>
      <c r="F8" s="164">
        <f>MATCH(E8, 'Travaux préparatoires'!A:A,0)</f>
        <v>26</v>
      </c>
      <c r="G8" s="164"/>
      <c r="H8" s="164"/>
      <c r="I8" s="163"/>
      <c r="J8" s="164" t="s">
        <v>87</v>
      </c>
      <c r="K8" s="270">
        <f>'Outil détaillé'!K7</f>
        <v>153.6</v>
      </c>
      <c r="L8" s="271"/>
      <c r="M8" s="1467"/>
      <c r="N8" s="1623"/>
      <c r="O8" s="1488">
        <f>SUM(O9)</f>
        <v>0</v>
      </c>
      <c r="P8" s="1489">
        <f t="shared" ref="P8:R8" si="4">SUM(P9)</f>
        <v>0</v>
      </c>
      <c r="Q8" s="1489">
        <f t="shared" si="4"/>
        <v>0</v>
      </c>
      <c r="R8" s="1489">
        <f t="shared" si="4"/>
        <v>0</v>
      </c>
      <c r="S8" s="1489">
        <f>SUM(S9)</f>
        <v>0</v>
      </c>
      <c r="T8" s="1489">
        <f>SUM(T9)</f>
        <v>0</v>
      </c>
      <c r="U8" s="1490">
        <f>SUM(U9)</f>
        <v>0</v>
      </c>
      <c r="V8" s="1488">
        <f>SUM(V9)</f>
        <v>0</v>
      </c>
      <c r="W8" s="1489">
        <f t="shared" ref="W8:Y8" si="5">SUM(W9)</f>
        <v>0</v>
      </c>
      <c r="X8" s="1489">
        <f t="shared" si="5"/>
        <v>0</v>
      </c>
      <c r="Y8" s="1489">
        <f t="shared" si="5"/>
        <v>0</v>
      </c>
      <c r="Z8" s="1489">
        <f>SUM(Z9)</f>
        <v>0</v>
      </c>
      <c r="AA8" s="1490">
        <f>SUM(AA9)</f>
        <v>0</v>
      </c>
      <c r="AB8" s="1490"/>
    </row>
    <row r="9" spans="1:28" ht="15.75" outlineLevel="1">
      <c r="B9" s="1871"/>
      <c r="C9" s="1874"/>
      <c r="D9" s="163"/>
      <c r="E9" s="163"/>
      <c r="F9" s="163"/>
      <c r="G9" s="163"/>
      <c r="H9" s="163" cm="1">
        <f t="array" ref="H9">INDEX('Travaux préparatoires'!D:D, $F8)</f>
        <v>0</v>
      </c>
      <c r="I9" s="163" cm="1">
        <f t="array" ref="I9">INDEX('Travaux préparatoires'!G:G, $F8)</f>
        <v>0</v>
      </c>
      <c r="J9" s="163"/>
      <c r="K9" s="283">
        <f>K8*M9</f>
        <v>0</v>
      </c>
      <c r="L9" s="283">
        <f>Hypothèses!$D$54</f>
        <v>60</v>
      </c>
      <c r="M9" cm="1">
        <f t="array" ref="M9">INDEX('Travaux préparatoires'!H:H, $F8)</f>
        <v>0</v>
      </c>
      <c r="N9" s="1299">
        <f>'Outil détaillé'!E8</f>
        <v>0</v>
      </c>
      <c r="O9" s="1498" cm="1">
        <f t="array" ref="O9">IFERROR(($K9*INDEX('Travaux préparatoires'!M:M, $F8)),0)/$I$1*(1-0.8*N9)</f>
        <v>0</v>
      </c>
      <c r="P9" s="1416">
        <f>IF($L9=P$3,$O9+$S9,0)</f>
        <v>0</v>
      </c>
      <c r="Q9" s="1416">
        <f>IF($L9=Q$3,$O9+$S9,0)</f>
        <v>0</v>
      </c>
      <c r="R9" s="256" cm="1">
        <f t="array" ref="R9">_xlfn.SWITCH(L9,R$3,O9+S9,P$3,P9,0)</f>
        <v>0</v>
      </c>
      <c r="S9" s="1416" cm="1">
        <f t="array" ref="S9">IFERROR(($K9*INDEX('Travaux préparatoires'!N:N, $F8)),0)/$I$1*(1-0.8*N9)</f>
        <v>0</v>
      </c>
      <c r="T9" s="1411">
        <f>SUM(O9:S9)</f>
        <v>0</v>
      </c>
      <c r="U9" s="1530">
        <v>0</v>
      </c>
      <c r="V9" s="1498" cm="1">
        <f t="array" ref="V9">IFERROR(($K9*INDEX('Travaux préparatoires'!K:K, $F8)),0)/$I$1*(1-0.8*N9)</f>
        <v>0</v>
      </c>
      <c r="W9" s="1416">
        <f>IF($L9=W$3,$V9+$Z9,0)</f>
        <v>0</v>
      </c>
      <c r="X9" s="1416">
        <f>IF($L9=X$3,$V9+$Z9,0)</f>
        <v>0</v>
      </c>
      <c r="Y9" s="256" cm="1">
        <f t="array" ref="Y9">_xlfn.SWITCH(T9,Y$3,V9+Z9,W$3,W9,0)</f>
        <v>0</v>
      </c>
      <c r="Z9" s="1416" cm="1">
        <f t="array" ref="Z9">IFERROR(($K9*INDEX('Travaux préparatoires'!L:L, $F8)),0)/$I$1*(1-0.8*N9)</f>
        <v>0</v>
      </c>
      <c r="AA9" s="1460">
        <f>SUM(V9:Z9)</f>
        <v>0</v>
      </c>
      <c r="AB9" s="1460"/>
    </row>
    <row r="10" spans="1:28" ht="15.75">
      <c r="B10" s="1871"/>
      <c r="C10" s="1874"/>
      <c r="D10" s="163" t="str">
        <f>'Outil détaillé'!D8</f>
        <v>Pieux de fondation</v>
      </c>
      <c r="E10" s="164">
        <f>'Outil détaillé'!F8</f>
        <v>0</v>
      </c>
      <c r="F10" s="164">
        <f>MATCH(E10, 'Travaux préparatoires'!A:A,0)</f>
        <v>26</v>
      </c>
      <c r="G10" s="164"/>
      <c r="H10" s="164"/>
      <c r="I10" s="164"/>
      <c r="J10" s="164" t="s">
        <v>87</v>
      </c>
      <c r="K10" s="270">
        <f>'Outil détaillé'!K8</f>
        <v>80</v>
      </c>
      <c r="L10" s="271"/>
      <c r="M10" s="1467"/>
      <c r="N10" s="1623"/>
      <c r="O10" s="1488">
        <f>SUM(O11)</f>
        <v>0</v>
      </c>
      <c r="P10" s="1489">
        <f t="shared" ref="P10:R10" si="6">SUM(P11)</f>
        <v>0</v>
      </c>
      <c r="Q10" s="1489">
        <f t="shared" si="6"/>
        <v>0</v>
      </c>
      <c r="R10" s="1489">
        <f t="shared" si="6"/>
        <v>0</v>
      </c>
      <c r="S10" s="1489">
        <f>SUM(S11)</f>
        <v>0</v>
      </c>
      <c r="T10" s="1489">
        <f>SUM(T11)</f>
        <v>0</v>
      </c>
      <c r="U10" s="1490">
        <f>SUM(U11)</f>
        <v>0</v>
      </c>
      <c r="V10" s="1488">
        <f>SUM(V11)</f>
        <v>0</v>
      </c>
      <c r="W10" s="1489">
        <f t="shared" ref="W10:Y10" si="7">SUM(W11)</f>
        <v>0</v>
      </c>
      <c r="X10" s="1489">
        <f t="shared" si="7"/>
        <v>0</v>
      </c>
      <c r="Y10" s="1489">
        <f t="shared" si="7"/>
        <v>0</v>
      </c>
      <c r="Z10" s="1489">
        <f>SUM(Z11)</f>
        <v>0</v>
      </c>
      <c r="AA10" s="1490">
        <f>SUM(AA11)</f>
        <v>0</v>
      </c>
      <c r="AB10" s="1490"/>
    </row>
    <row r="11" spans="1:28" ht="15.75" outlineLevel="1">
      <c r="B11" s="1871"/>
      <c r="C11" s="1874"/>
      <c r="D11" s="163"/>
      <c r="E11" s="163"/>
      <c r="F11" s="163"/>
      <c r="G11" s="163"/>
      <c r="H11" s="163" cm="1">
        <f t="array" ref="H11">INDEX('Travaux préparatoires'!D:D, $F10)</f>
        <v>0</v>
      </c>
      <c r="I11" s="163" cm="1">
        <f t="array" ref="I11">INDEX('Travaux préparatoires'!G:G, $F10)</f>
        <v>0</v>
      </c>
      <c r="J11" s="163"/>
      <c r="K11" s="283">
        <f>K10*M11</f>
        <v>0</v>
      </c>
      <c r="L11" s="283">
        <f>Hypothèses!$D$54</f>
        <v>60</v>
      </c>
      <c r="M11" cm="1">
        <f t="array" ref="M11">INDEX('Travaux préparatoires'!H:H, $F10)</f>
        <v>0</v>
      </c>
      <c r="N11" s="1299"/>
      <c r="O11" s="1498" cm="1">
        <f t="array" ref="O11">IFERROR(($K11*INDEX('Travaux préparatoires'!M:M, $F10)),0)/$I$1*(1-0.8*N11)</f>
        <v>0</v>
      </c>
      <c r="P11" s="1416">
        <f>IF($L11=P$3,$O11+$S11,0)</f>
        <v>0</v>
      </c>
      <c r="Q11" s="1416">
        <f>IF($L11=Q$3,$O11+$S11,0)</f>
        <v>0</v>
      </c>
      <c r="R11" s="256" cm="1">
        <f t="array" ref="R11">_xlfn.SWITCH(L11,R$3,O11+S11,P$3,P11,0)</f>
        <v>0</v>
      </c>
      <c r="S11" s="1416" cm="1">
        <f t="array" ref="S11">IFERROR(($K11*INDEX('Travaux préparatoires'!N:N, $F10)),0)/$I$1*(1-0.8*N11)</f>
        <v>0</v>
      </c>
      <c r="T11" s="1493">
        <f>SUM(O11:S11)</f>
        <v>0</v>
      </c>
      <c r="U11" s="1530">
        <v>0</v>
      </c>
      <c r="V11" s="1498" cm="1">
        <f t="array" ref="V11">IFERROR(($K11*INDEX('Travaux préparatoires'!K:K, $F10)),0)/$I$1*(1-0.8*N11)</f>
        <v>0</v>
      </c>
      <c r="W11" s="1416">
        <f>IF($L11=W$3,$V11+$Z11,0)</f>
        <v>0</v>
      </c>
      <c r="X11" s="1416">
        <f>IF($L11=X$3,$V11+$Z11,0)</f>
        <v>0</v>
      </c>
      <c r="Y11" s="256" cm="1">
        <f t="array" ref="Y11">_xlfn.SWITCH(T11,Y$3,V11+Z11,W$3,W11,0)</f>
        <v>0</v>
      </c>
      <c r="Z11" s="1416" cm="1">
        <f t="array" ref="Z11">IFERROR(($K11*INDEX('Travaux préparatoires'!L:L, $F10)),0)/$I$1*(1-0.8*N11)</f>
        <v>0</v>
      </c>
      <c r="AA11" s="1499">
        <f>SUM(V11:Z11)</f>
        <v>0</v>
      </c>
      <c r="AB11" s="1499"/>
    </row>
    <row r="12" spans="1:28" ht="15.75">
      <c r="B12" s="1871"/>
      <c r="C12" s="1874"/>
      <c r="D12" s="263" t="str">
        <f>'Outil détaillé'!D9</f>
        <v>Remblayages</v>
      </c>
      <c r="E12" s="657" t="str">
        <f>'Outil détaillé'!$F$6</f>
        <v>Aushub / Excavation</v>
      </c>
      <c r="F12" s="164">
        <f>MATCH(E12, 'Travaux préparatoires'!A:A,0)</f>
        <v>4</v>
      </c>
      <c r="G12" s="657"/>
      <c r="H12" s="657"/>
      <c r="I12" s="657"/>
      <c r="J12" s="657" t="s">
        <v>269</v>
      </c>
      <c r="K12" s="667">
        <f>'Outil détaillé'!K9</f>
        <v>126.8</v>
      </c>
      <c r="L12" s="667"/>
      <c r="M12" s="1520"/>
      <c r="N12" s="1625"/>
      <c r="O12" s="1488">
        <f>SUM(O13)</f>
        <v>0.34315249999999997</v>
      </c>
      <c r="P12" s="1489">
        <f t="shared" ref="P12:R12" si="8">SUM(P13)</f>
        <v>0</v>
      </c>
      <c r="Q12" s="1489">
        <f t="shared" si="8"/>
        <v>0</v>
      </c>
      <c r="R12" s="1489">
        <f t="shared" si="8"/>
        <v>0</v>
      </c>
      <c r="S12" s="1489">
        <f>SUM(S13)</f>
        <v>0</v>
      </c>
      <c r="T12" s="1489">
        <f>SUM(T13)</f>
        <v>0.34315249999999997</v>
      </c>
      <c r="U12" s="1490">
        <f>SUM(U13)</f>
        <v>0</v>
      </c>
      <c r="V12" s="1488">
        <f>SUM(V13)</f>
        <v>1.2996999999999999</v>
      </c>
      <c r="W12" s="1489">
        <f t="shared" ref="W12:Y12" si="9">SUM(W13)</f>
        <v>0</v>
      </c>
      <c r="X12" s="1489">
        <f t="shared" si="9"/>
        <v>0</v>
      </c>
      <c r="Y12" s="1489">
        <f t="shared" si="9"/>
        <v>0</v>
      </c>
      <c r="Z12" s="1489">
        <f>SUM(Z13)</f>
        <v>0</v>
      </c>
      <c r="AA12" s="1490">
        <f>SUM(AA13)</f>
        <v>1.2996999999999999</v>
      </c>
      <c r="AB12" s="1490"/>
    </row>
    <row r="13" spans="1:28" ht="16.5" outlineLevel="1" thickBot="1">
      <c r="B13" s="1872"/>
      <c r="C13" s="1884"/>
      <c r="D13" s="640"/>
      <c r="E13" s="905"/>
      <c r="F13" s="640"/>
      <c r="G13" s="640"/>
      <c r="H13" s="640"/>
      <c r="I13" s="640" t="str" cm="1">
        <f t="array" ref="I13">INDEX('Travaux préparatoires'!G:G, $F12)</f>
        <v>62.001</v>
      </c>
      <c r="J13" s="640" t="s">
        <v>269</v>
      </c>
      <c r="K13" s="1042">
        <f>K12*M13</f>
        <v>126.8</v>
      </c>
      <c r="L13" s="1042">
        <f>L9</f>
        <v>60</v>
      </c>
      <c r="M13" s="171" cm="1">
        <f t="array" ref="M13">INDEX('Travaux préparatoires'!H:H, $F12)</f>
        <v>1</v>
      </c>
      <c r="N13" s="1626"/>
      <c r="O13" s="1500" cm="1">
        <f t="array" ref="O13">IFERROR(($K13*INDEX('Travaux préparatoires'!M:M, $F12)),0)/$I$1*(1-0.8*N13)</f>
        <v>0.34315249999999997</v>
      </c>
      <c r="P13" s="1043">
        <f>IF($L13=P$3,$O13+$S13,0)</f>
        <v>0</v>
      </c>
      <c r="Q13" s="1043">
        <f>IF($L13=Q$3,$O13+$S13,0)</f>
        <v>0</v>
      </c>
      <c r="R13" s="284" cm="1">
        <f t="array" ref="R13">_xlfn.SWITCH(L13,R$3,O13+S13,P$3,P13,0)</f>
        <v>0</v>
      </c>
      <c r="S13" s="1043" cm="1">
        <f t="array" ref="S13">IFERROR(($K13*INDEX('Travaux préparatoires'!N:N, $F12)),0)/$I$1*(1-0.8*N13)</f>
        <v>0</v>
      </c>
      <c r="T13" s="1044">
        <f>SUM(O13:S13)</f>
        <v>0.34315249999999997</v>
      </c>
      <c r="U13" s="1531">
        <v>0</v>
      </c>
      <c r="V13" s="1500" cm="1">
        <f t="array" ref="V13">IFERROR(($K13*INDEX('Travaux préparatoires'!K:K, $F12)),0)/$I$1*(1-0.8*N13)</f>
        <v>1.2996999999999999</v>
      </c>
      <c r="W13" s="1043">
        <f>IF($L13=W$3,$V13+$Z13,0)</f>
        <v>0</v>
      </c>
      <c r="X13" s="1043">
        <f>IF($L13=X$3,$V13+$Z13,0)</f>
        <v>0</v>
      </c>
      <c r="Y13" s="284" cm="1">
        <f t="array" ref="Y13">_xlfn.SWITCH(T13,Y$3,V13+Z13,W$3,W13,0)</f>
        <v>0</v>
      </c>
      <c r="Z13" s="1043" cm="1">
        <f t="array" ref="Z13">IFERROR(($K13*INDEX('Travaux préparatoires'!L:L, $F12)),0)/$I$1*(1-0.8*N13)</f>
        <v>0</v>
      </c>
      <c r="AA13" s="1501">
        <f>SUM(V13:Z13)</f>
        <v>1.2996999999999999</v>
      </c>
      <c r="AB13" s="1501"/>
    </row>
    <row r="14" spans="1:28" ht="15.6" customHeight="1">
      <c r="B14" s="1870" t="s">
        <v>499</v>
      </c>
      <c r="C14" s="1885" t="str">
        <f>'Outil détaillé'!C10</f>
        <v>C01</v>
      </c>
      <c r="D14" s="1045" t="str">
        <f>'Outil détaillé'!D10</f>
        <v>Fondations, radiers</v>
      </c>
      <c r="E14" s="636"/>
      <c r="F14" s="636">
        <f>MATCH(D14, 'Enveloppe du bâtiment sout.'!B:B,0)</f>
        <v>3</v>
      </c>
      <c r="G14" s="636"/>
      <c r="H14" s="636"/>
      <c r="I14" s="636"/>
      <c r="J14" s="636"/>
      <c r="K14" s="1046"/>
      <c r="L14" s="1040"/>
      <c r="M14" s="1518"/>
      <c r="N14" s="1622"/>
      <c r="O14" s="1486">
        <f ca="1">O15+O23</f>
        <v>76.907467622080688</v>
      </c>
      <c r="P14" s="1041">
        <f t="shared" ref="P14:R14" ca="1" si="10">P15+P23</f>
        <v>0</v>
      </c>
      <c r="Q14" s="1041">
        <f t="shared" ca="1" si="10"/>
        <v>0</v>
      </c>
      <c r="R14" s="1041">
        <f t="shared" ca="1" si="10"/>
        <v>0</v>
      </c>
      <c r="S14" s="1041">
        <f ca="1">S15+S23</f>
        <v>9.0485923566878981</v>
      </c>
      <c r="T14" s="1041">
        <f ca="1">T15+T23</f>
        <v>85.956059978768579</v>
      </c>
      <c r="U14" s="1487">
        <f ca="1">U15+U23</f>
        <v>0</v>
      </c>
      <c r="V14" s="1486">
        <f ca="1">V15+V23</f>
        <v>168.38595514861996</v>
      </c>
      <c r="W14" s="1041">
        <f t="shared" ref="W14:Y14" ca="1" si="11">W15+W23</f>
        <v>0</v>
      </c>
      <c r="X14" s="1041">
        <f t="shared" ca="1" si="11"/>
        <v>0</v>
      </c>
      <c r="Y14" s="1041">
        <f t="shared" ca="1" si="11"/>
        <v>0</v>
      </c>
      <c r="Z14" s="1041">
        <f ca="1">Z15+Z23</f>
        <v>36.900072452229303</v>
      </c>
      <c r="AA14" s="1487">
        <f ca="1">AA15+AA23</f>
        <v>205.28602760084928</v>
      </c>
      <c r="AB14" s="1487"/>
    </row>
    <row r="15" spans="1:28" ht="15.75">
      <c r="B15" s="1871"/>
      <c r="C15" s="1886"/>
      <c r="D15" s="263" t="str">
        <f>'Outil détaillé'!D11</f>
        <v>Fondations</v>
      </c>
      <c r="E15" s="164" t="str">
        <f>'Outil détaillé'!F11</f>
        <v>non-isolés</v>
      </c>
      <c r="F15" s="164">
        <f ca="1">MATCH(E15, INDIRECT("'Enveloppe du bâtiment sout.'!A"&amp;F14+1&amp;":A500"),0)+F14</f>
        <v>4</v>
      </c>
      <c r="G15" s="164"/>
      <c r="H15" s="164"/>
      <c r="I15" s="164"/>
      <c r="J15" s="164" t="s">
        <v>87</v>
      </c>
      <c r="K15" s="270">
        <f>'Outil détaillé'!K11</f>
        <v>53.333333333333329</v>
      </c>
      <c r="L15" s="271"/>
      <c r="M15" s="1467"/>
      <c r="N15" s="1623"/>
      <c r="O15" s="1488">
        <f ca="1">SUM(O16:O22)</f>
        <v>30.762987048832269</v>
      </c>
      <c r="P15" s="1489">
        <f t="shared" ref="P15:R15" ca="1" si="12">SUM(P16:P22)</f>
        <v>0</v>
      </c>
      <c r="Q15" s="1489">
        <f t="shared" ca="1" si="12"/>
        <v>0</v>
      </c>
      <c r="R15" s="1489">
        <f t="shared" ca="1" si="12"/>
        <v>0</v>
      </c>
      <c r="S15" s="1489">
        <f ca="1">SUM(S16:S22)</f>
        <v>3.6194369426751596</v>
      </c>
      <c r="T15" s="1489">
        <f ca="1">SUM(T16:T22)</f>
        <v>34.382423991507423</v>
      </c>
      <c r="U15" s="1490">
        <f ca="1">SUM(U16:U22)</f>
        <v>0</v>
      </c>
      <c r="V15" s="1488">
        <f ca="1">SUM(V16:V22)</f>
        <v>67.354382059447971</v>
      </c>
      <c r="W15" s="1489">
        <f t="shared" ref="W15:Y15" ca="1" si="13">SUM(W16:W22)</f>
        <v>0</v>
      </c>
      <c r="X15" s="1489">
        <f t="shared" ca="1" si="13"/>
        <v>0</v>
      </c>
      <c r="Y15" s="1489">
        <f t="shared" ca="1" si="13"/>
        <v>0</v>
      </c>
      <c r="Z15" s="1489">
        <f ca="1">SUM(Z16:Z22)</f>
        <v>14.76002898089172</v>
      </c>
      <c r="AA15" s="1490">
        <f ca="1">SUM(AA16:AA22)</f>
        <v>82.114411040339704</v>
      </c>
      <c r="AB15" s="1490"/>
    </row>
    <row r="16" spans="1:28" ht="15.75" outlineLevel="1">
      <c r="B16" s="1871"/>
      <c r="C16" s="1886"/>
      <c r="D16" s="1047"/>
      <c r="E16" s="261"/>
      <c r="F16" s="1236">
        <f ca="1">IF(I16=0,2,F15+1)</f>
        <v>5</v>
      </c>
      <c r="G16" s="163" t="str" cm="1">
        <f t="array" aca="1" ref="G16" ca="1">INDEX('Enveloppe du bâtiment sout.'!C:C, $F15)</f>
        <v>Magerbeton / Béton maigre 7 cm [kg], 2'150 [kg/m3]</v>
      </c>
      <c r="H16" s="163" t="str" cm="1">
        <f t="array" aca="1" ref="H16" ca="1">INDEX('Enveloppe du bâtiment sout.'!D:D, $F15)</f>
        <v>Béton maigre (sans armature)</v>
      </c>
      <c r="I16" s="163" t="str" cm="1">
        <f t="array" aca="1" ref="I16" ca="1">INDEX('Enveloppe du bâtiment sout.'!G:G, $F15)</f>
        <v>01.001</v>
      </c>
      <c r="J16" s="163" t="str">
        <f ca="1">_xlfn.XLOOKUP($I16,'Baumaterialien Matériaux'!A:A,'Baumaterialien Matériaux'!G:G,0,0)</f>
        <v>kg</v>
      </c>
      <c r="K16" s="262">
        <f ca="1">M16*$K$15</f>
        <v>8026.6666666666679</v>
      </c>
      <c r="L16" s="262" cm="1">
        <f t="array" aca="1" ref="L16" ca="1">INDEX('Enveloppe du bâtiment sout.'!J:J, $F15)</f>
        <v>60</v>
      </c>
      <c r="M16" s="1521" cm="1">
        <f t="array" aca="1" ref="M16" ca="1">INDEX('Enveloppe du bâtiment sout.'!H:H, $F15)</f>
        <v>150.50000000000003</v>
      </c>
      <c r="N16" s="1627">
        <f>'Outil détaillé'!E$11</f>
        <v>0</v>
      </c>
      <c r="O16" s="1502" cm="1">
        <f t="array" aca="1" ref="O16" ca="1">IFERROR(INDEX('Enveloppe du bâtiment sout.'!M:M, $F15)*$K16/$M16,0)/$I$1*(1-0.8*N16)</f>
        <v>2.5183666666666671</v>
      </c>
      <c r="P16" s="1416">
        <f t="shared" ref="P16:Q22" ca="1" si="14">IF($L16=P$3,$O16+$S16,0)</f>
        <v>0</v>
      </c>
      <c r="Q16" s="1416">
        <f t="shared" ca="1" si="14"/>
        <v>0</v>
      </c>
      <c r="R16" s="256" cm="1">
        <f t="array" aca="1" ref="R16" ca="1">_xlfn.SWITCH(L16,R$3,O16+S16,P$3,P16,0)</f>
        <v>0</v>
      </c>
      <c r="S16" s="1410" cm="1">
        <f t="array" aca="1" ref="S16" ca="1">IFERROR(INDEX('Enveloppe du bâtiment sout.'!N:N, $F15)*$K16/$M16,0)/$I$1*(1-0.8*N16)</f>
        <v>0.63210000000000011</v>
      </c>
      <c r="T16" s="1411">
        <f t="shared" ref="T16:T22" ca="1" si="15">SUM(O16:S16)</f>
        <v>3.1504666666666674</v>
      </c>
      <c r="U16" s="1530" cm="1">
        <f t="array" aca="1" ref="U16" ca="1">IFERROR(INDEX('Enveloppe du bâtiment sout.'!O:O, $F15)*$K16/$M16,0)/$I$1*(1-0.8*N16)</f>
        <v>0</v>
      </c>
      <c r="V16" s="1502" cm="1">
        <f t="array" aca="1" ref="V16" ca="1">IFERROR(INDEX('Enveloppe du bâtiment sout.'!K:K, $F15)*$K16/$M16,0)/$I$1*(1-0.8*N16)</f>
        <v>3.8477833333333336</v>
      </c>
      <c r="W16" s="1416">
        <f t="shared" ref="W16:X22" ca="1" si="16">IF($L16=W$3,$V16+$Z16,0)</f>
        <v>0</v>
      </c>
      <c r="X16" s="1416">
        <f t="shared" ca="1" si="16"/>
        <v>0</v>
      </c>
      <c r="Y16" s="256" cm="1">
        <f t="array" aca="1" ref="Y16" ca="1">_xlfn.SWITCH(T16,Y$3,V16+Z16,W$3,W16,0)</f>
        <v>0</v>
      </c>
      <c r="Z16" s="1410" cm="1">
        <f t="array" aca="1" ref="Z16" ca="1">IFERROR(INDEX('Enveloppe du bâtiment sout.'!L:L, $F15)*$K16/$M16,0)/$I$1*(1-0.8*N16)</f>
        <v>2.5886000000000005</v>
      </c>
      <c r="AA16" s="1460">
        <f t="shared" ref="AA16:AA22" ca="1" si="17">SUM(V16:Z16)</f>
        <v>6.4363833333333336</v>
      </c>
      <c r="AB16" s="1460"/>
    </row>
    <row r="17" spans="2:28" ht="15.75" outlineLevel="1">
      <c r="B17" s="1871"/>
      <c r="C17" s="1886"/>
      <c r="D17" s="1047"/>
      <c r="E17" s="261"/>
      <c r="F17" s="1236">
        <f t="shared" ref="F17:F22" ca="1" si="18">IF(I17=0,2,F16+1)</f>
        <v>6</v>
      </c>
      <c r="G17" s="163" t="str" cm="1">
        <f t="array" aca="1" ref="G17" ca="1">INDEX('Enveloppe du bâtiment sout.'!C:C, $F16)</f>
        <v>Hochbaubeton / béton pour bâtiment, 30 cm [kg], 2'300 [kg/m3]</v>
      </c>
      <c r="H17" s="163" t="str" cm="1">
        <f t="array" aca="1" ref="H17" ca="1">INDEX('Enveloppe du bâtiment sout.'!D:D, $F16)</f>
        <v>Béton pour bâtiment (sans armature)</v>
      </c>
      <c r="I17" s="163" t="str" cm="1">
        <f t="array" aca="1" ref="I17" ca="1">INDEX('Enveloppe du bâtiment sout.'!G:G, $F16)</f>
        <v>01.002</v>
      </c>
      <c r="J17" s="163" t="str">
        <f ca="1">_xlfn.XLOOKUP($I17,'Baumaterialien Matériaux'!A:A,'Baumaterialien Matériaux'!G:G,0,0)</f>
        <v>kg</v>
      </c>
      <c r="K17" s="262">
        <f t="shared" ref="K17:K22" ca="1" si="19">M17*$K$15</f>
        <v>36307.770700636938</v>
      </c>
      <c r="L17" s="262" cm="1">
        <f t="array" aca="1" ref="L17" ca="1">INDEX('Enveloppe du bâtiment sout.'!J:J, $F16)</f>
        <v>60</v>
      </c>
      <c r="M17" s="1521" cm="1">
        <f t="array" aca="1" ref="M17" ca="1">INDEX('Enveloppe du bâtiment sout.'!H:H, $F16)</f>
        <v>680.77070063694271</v>
      </c>
      <c r="N17" s="1627">
        <f>'Outil détaillé'!E$11</f>
        <v>0</v>
      </c>
      <c r="O17" s="1502" cm="1">
        <f t="array" aca="1" ref="O17" ca="1">IFERROR(INDEX('Enveloppe du bâtiment sout.'!M:M, $F16)*$K17/$M17,0)/$I$1*(1-0.8*N17)</f>
        <v>20.128120382165601</v>
      </c>
      <c r="P17" s="1416">
        <f t="shared" ca="1" si="14"/>
        <v>0</v>
      </c>
      <c r="Q17" s="1416">
        <f t="shared" ca="1" si="14"/>
        <v>0</v>
      </c>
      <c r="R17" s="256" cm="1">
        <f t="array" aca="1" ref="R17" ca="1">_xlfn.SWITCH(L17,R$3,O17+S17,P$3,P17,0)</f>
        <v>0</v>
      </c>
      <c r="S17" s="1410" cm="1">
        <f t="array" aca="1" ref="S17" ca="1">IFERROR(INDEX('Enveloppe du bâtiment sout.'!N:N, $F16)*$K17/$M17,0)/$I$1*(1-0.8*N17)</f>
        <v>2.8592369426751594</v>
      </c>
      <c r="T17" s="1411">
        <f t="shared" ca="1" si="15"/>
        <v>22.987357324840762</v>
      </c>
      <c r="U17" s="1530" cm="1">
        <f t="array" aca="1" ref="U17" ca="1">IFERROR(INDEX('Enveloppe du bâtiment sout.'!O:O, $F16)*$K17/$M17,0)/$I$1*(1-0.8*N17)</f>
        <v>0</v>
      </c>
      <c r="V17" s="1502" cm="1">
        <f t="array" aca="1" ref="V17" ca="1">IFERROR(INDEX('Enveloppe du bâtiment sout.'!K:K, $F16)*$K17/$M17,0)/$I$1*(1-0.8*N17)</f>
        <v>27.911598726114647</v>
      </c>
      <c r="W17" s="1416">
        <f t="shared" ca="1" si="16"/>
        <v>0</v>
      </c>
      <c r="X17" s="1416">
        <f t="shared" ca="1" si="16"/>
        <v>0</v>
      </c>
      <c r="Y17" s="256" cm="1">
        <f t="array" aca="1" ref="Y17" ca="1">_xlfn.SWITCH(T17,Y$3,V17+Z17,W$3,W17,0)</f>
        <v>0</v>
      </c>
      <c r="Z17" s="1410" cm="1">
        <f t="array" aca="1" ref="Z17" ca="1">IFERROR(INDEX('Enveloppe du bâtiment sout.'!L:L, $F16)*$K17/$M17,0)/$I$1*(1-0.8*N17)</f>
        <v>11.64117898089172</v>
      </c>
      <c r="AA17" s="1460">
        <f t="shared" ca="1" si="17"/>
        <v>39.552777707006371</v>
      </c>
      <c r="AB17" s="1460"/>
    </row>
    <row r="18" spans="2:28" ht="15.75" outlineLevel="1">
      <c r="B18" s="1871"/>
      <c r="C18" s="1886"/>
      <c r="D18" s="1047"/>
      <c r="E18" s="261"/>
      <c r="F18" s="1236">
        <f t="shared" ca="1" si="18"/>
        <v>7</v>
      </c>
      <c r="G18" s="163" t="str" cm="1">
        <f t="array" aca="1" ref="G18" ca="1">INDEX('Enveloppe du bâtiment sout.'!C:C, $F17)</f>
        <v>Armierungsstahl / Acier d'armature [kg], 7'850 [kg/m3]</v>
      </c>
      <c r="H18" s="163" t="str" cm="1">
        <f t="array" aca="1" ref="H18" ca="1">INDEX('Enveloppe du bâtiment sout.'!D:D, $F17)</f>
        <v>Acier d'armature</v>
      </c>
      <c r="I18" s="163" t="str" cm="1">
        <f t="array" aca="1" ref="I18" ca="1">INDEX('Enveloppe du bâtiment sout.'!G:G, $F17)</f>
        <v>06.003</v>
      </c>
      <c r="J18" s="163" t="str">
        <f ca="1">_xlfn.XLOOKUP($I18,'Baumaterialien Matériaux'!A:A,'Baumaterialien Matériaux'!G:G,0,0)</f>
        <v>kg</v>
      </c>
      <c r="K18" s="262">
        <f t="shared" ca="1" si="19"/>
        <v>1679.9999999999998</v>
      </c>
      <c r="L18" s="262" cm="1">
        <f t="array" aca="1" ref="L18" ca="1">INDEX('Enveloppe du bâtiment sout.'!J:J, $F17)</f>
        <v>60</v>
      </c>
      <c r="M18" s="1521" cm="1">
        <f t="array" aca="1" ref="M18" ca="1">INDEX('Enveloppe du bâtiment sout.'!H:H, $F17)</f>
        <v>31.5</v>
      </c>
      <c r="N18" s="1627">
        <f>'Outil détaillé'!E$11</f>
        <v>0</v>
      </c>
      <c r="O18" s="1502" cm="1">
        <f t="array" aca="1" ref="O18" ca="1">IFERROR(INDEX('Enveloppe du bâtiment sout.'!M:M, $F17)*$K18/$M18,0)/$I$1*(1-0.8*N18)</f>
        <v>8.1164999999999985</v>
      </c>
      <c r="P18" s="1416">
        <f t="shared" ca="1" si="14"/>
        <v>0</v>
      </c>
      <c r="Q18" s="1416">
        <f t="shared" ca="1" si="14"/>
        <v>0</v>
      </c>
      <c r="R18" s="256" cm="1">
        <f t="array" aca="1" ref="R18" ca="1">_xlfn.SWITCH(L18,R$3,O18+S18,P$3,P18,0)</f>
        <v>0</v>
      </c>
      <c r="S18" s="1410" cm="1">
        <f t="array" aca="1" ref="S18" ca="1">IFERROR(INDEX('Enveloppe du bâtiment sout.'!N:N, $F17)*$K18/$M18,0)/$I$1*(1-0.8*N18)</f>
        <v>0.12809999999999999</v>
      </c>
      <c r="T18" s="1411">
        <f t="shared" ca="1" si="15"/>
        <v>8.2445999999999984</v>
      </c>
      <c r="U18" s="1530" cm="1">
        <f t="array" aca="1" ref="U18" ca="1">IFERROR(INDEX('Enveloppe du bâtiment sout.'!O:O, $F17)*$K18/$M18,0)/$I$1*(1-0.8*N18)</f>
        <v>0</v>
      </c>
      <c r="V18" s="1502" cm="1">
        <f t="array" aca="1" ref="V18" ca="1">IFERROR(INDEX('Enveloppe du bâtiment sout.'!K:K, $F17)*$K18/$M18,0)/$I$1*(1-0.8*N18)</f>
        <v>35.594999999999999</v>
      </c>
      <c r="W18" s="1416">
        <f t="shared" ca="1" si="16"/>
        <v>0</v>
      </c>
      <c r="X18" s="1416">
        <f t="shared" ca="1" si="16"/>
        <v>0</v>
      </c>
      <c r="Y18" s="256" cm="1">
        <f t="array" aca="1" ref="Y18" ca="1">_xlfn.SWITCH(T18,Y$3,V18+Z18,W$3,W18,0)</f>
        <v>0</v>
      </c>
      <c r="Z18" s="1410" cm="1">
        <f t="array" aca="1" ref="Z18" ca="1">IFERROR(INDEX('Enveloppe du bâtiment sout.'!L:L, $F17)*$K18/$M18,0)/$I$1*(1-0.8*N18)</f>
        <v>0.53025</v>
      </c>
      <c r="AA18" s="1460">
        <f t="shared" ca="1" si="17"/>
        <v>36.125250000000001</v>
      </c>
      <c r="AB18" s="1460"/>
    </row>
    <row r="19" spans="2:28" ht="15.75" outlineLevel="1">
      <c r="B19" s="1871"/>
      <c r="C19" s="1886"/>
      <c r="D19" s="1047"/>
      <c r="E19" s="261"/>
      <c r="F19" s="163">
        <f t="shared" ca="1" si="18"/>
        <v>2</v>
      </c>
      <c r="G19" s="163" cm="1">
        <f t="array" aca="1" ref="G19" ca="1">INDEX('Enveloppe du bâtiment sout.'!C:C, $F18)</f>
        <v>0</v>
      </c>
      <c r="H19" s="163" cm="1">
        <f t="array" aca="1" ref="H19" ca="1">INDEX('Enveloppe du bâtiment sout.'!D:D, $F18)</f>
        <v>0</v>
      </c>
      <c r="I19" s="163" cm="1">
        <f t="array" aca="1" ref="I19" ca="1">INDEX('Enveloppe du bâtiment sout.'!G:G, $F18)</f>
        <v>0</v>
      </c>
      <c r="J19" s="163">
        <f ca="1">_xlfn.XLOOKUP($I19,'Baumaterialien Matériaux'!A:A,'Baumaterialien Matériaux'!G:G,0,0)</f>
        <v>0</v>
      </c>
      <c r="K19" s="262">
        <f t="shared" ca="1" si="19"/>
        <v>0</v>
      </c>
      <c r="L19" s="262" cm="1">
        <f t="array" aca="1" ref="L19" ca="1">INDEX('Enveloppe du bâtiment sout.'!J:J, $F18)</f>
        <v>60</v>
      </c>
      <c r="M19" s="1521" cm="1">
        <f t="array" aca="1" ref="M19" ca="1">INDEX('Enveloppe du bâtiment sout.'!H:H, $F18)</f>
        <v>0</v>
      </c>
      <c r="N19" s="1627">
        <f>'Outil détaillé'!E$11</f>
        <v>0</v>
      </c>
      <c r="O19" s="1502" cm="1">
        <f t="array" aca="1" ref="O19" ca="1">IFERROR(INDEX('Enveloppe du bâtiment sout.'!M:M, $F18)*$K19/$M19,0)/$I$1*(1-0.8*N19)</f>
        <v>0</v>
      </c>
      <c r="P19" s="1416">
        <f t="shared" ca="1" si="14"/>
        <v>0</v>
      </c>
      <c r="Q19" s="1416">
        <f t="shared" ca="1" si="14"/>
        <v>0</v>
      </c>
      <c r="R19" s="256" cm="1">
        <f t="array" aca="1" ref="R19" ca="1">_xlfn.SWITCH(L19,R$3,O19+S19,P$3,P19,0)</f>
        <v>0</v>
      </c>
      <c r="S19" s="1410" cm="1">
        <f t="array" aca="1" ref="S19" ca="1">IFERROR(INDEX('Enveloppe du bâtiment sout.'!N:N, $F18)*$K19/$M19,0)/$I$1*(1-0.8*N19)</f>
        <v>0</v>
      </c>
      <c r="T19" s="1411">
        <f t="shared" ca="1" si="15"/>
        <v>0</v>
      </c>
      <c r="U19" s="1530" cm="1">
        <f t="array" aca="1" ref="U19" ca="1">IFERROR(INDEX('Enveloppe du bâtiment sout.'!O:O, $F18)*$K19/$M19,0)/$I$1*(1-0.8*N19)</f>
        <v>0</v>
      </c>
      <c r="V19" s="1502" cm="1">
        <f t="array" aca="1" ref="V19" ca="1">IFERROR(INDEX('Enveloppe du bâtiment sout.'!K:K, $F18)*$K19/$M19,0)/$I$1*(1-0.8*N19)</f>
        <v>0</v>
      </c>
      <c r="W19" s="1416">
        <f t="shared" ca="1" si="16"/>
        <v>0</v>
      </c>
      <c r="X19" s="1416">
        <f t="shared" ca="1" si="16"/>
        <v>0</v>
      </c>
      <c r="Y19" s="256" cm="1">
        <f t="array" aca="1" ref="Y19" ca="1">_xlfn.SWITCH(T19,Y$3,V19+Z19,W$3,W19,0)</f>
        <v>0</v>
      </c>
      <c r="Z19" s="1410" cm="1">
        <f t="array" aca="1" ref="Z19" ca="1">IFERROR(INDEX('Enveloppe du bâtiment sout.'!L:L, $F18)*$K19/$M19,0)/$I$1*(1-0.8*N19)</f>
        <v>0</v>
      </c>
      <c r="AA19" s="1460">
        <f t="shared" ca="1" si="17"/>
        <v>0</v>
      </c>
      <c r="AB19" s="1460"/>
    </row>
    <row r="20" spans="2:28" ht="15.75" outlineLevel="1">
      <c r="B20" s="1871"/>
      <c r="C20" s="1886"/>
      <c r="D20" s="1047"/>
      <c r="E20" s="261"/>
      <c r="F20" s="163">
        <f t="shared" ca="1" si="18"/>
        <v>2</v>
      </c>
      <c r="G20" s="163" cm="1">
        <f t="array" aca="1" ref="G20" ca="1">INDEX('Enveloppe du bâtiment sout.'!C:C, $F19)</f>
        <v>0</v>
      </c>
      <c r="H20" s="163" cm="1">
        <f t="array" aca="1" ref="H20" ca="1">INDEX('Enveloppe du bâtiment sout.'!D:D, $F19)</f>
        <v>0</v>
      </c>
      <c r="I20" s="163" cm="1">
        <f t="array" aca="1" ref="I20" ca="1">INDEX('Enveloppe du bâtiment sout.'!G:G, $F19)</f>
        <v>0</v>
      </c>
      <c r="J20" s="163">
        <f ca="1">_xlfn.XLOOKUP($I20,'Baumaterialien Matériaux'!A:A,'Baumaterialien Matériaux'!G:G,0,0)</f>
        <v>0</v>
      </c>
      <c r="K20" s="262">
        <f t="shared" ca="1" si="19"/>
        <v>0</v>
      </c>
      <c r="L20" s="262" cm="1">
        <f t="array" aca="1" ref="L20" ca="1">INDEX('Enveloppe du bâtiment sout.'!J:J, $F19)</f>
        <v>0</v>
      </c>
      <c r="M20" s="1521" cm="1">
        <f t="array" aca="1" ref="M20" ca="1">INDEX('Enveloppe du bâtiment sout.'!H:H, $F19)</f>
        <v>0</v>
      </c>
      <c r="N20" s="1627">
        <f>'Outil détaillé'!E$11</f>
        <v>0</v>
      </c>
      <c r="O20" s="1502" cm="1">
        <f t="array" aca="1" ref="O20" ca="1">IFERROR(INDEX('Enveloppe du bâtiment sout.'!M:M, $F19)*$K$15,0)/$I$1*(1-0.8*N20)</f>
        <v>0</v>
      </c>
      <c r="P20" s="1416">
        <f t="shared" ca="1" si="14"/>
        <v>0</v>
      </c>
      <c r="Q20" s="1416">
        <f t="shared" ca="1" si="14"/>
        <v>0</v>
      </c>
      <c r="R20" s="256" cm="1">
        <f t="array" aca="1" ref="R20" ca="1">_xlfn.SWITCH(L20,R$3,O20+S20,P$3,P20,0)</f>
        <v>0</v>
      </c>
      <c r="S20" s="1410" cm="1">
        <f t="array" aca="1" ref="S20" ca="1">IFERROR(INDEX('Enveloppe du bâtiment sout.'!N:N, $F19)*$K$15,0)/$I$1*(1-0.8*N20)</f>
        <v>0</v>
      </c>
      <c r="T20" s="1411">
        <f t="shared" ca="1" si="15"/>
        <v>0</v>
      </c>
      <c r="U20" s="1530" cm="1">
        <f t="array" aca="1" ref="U20" ca="1">IFERROR(INDEX('Enveloppe du bâtiment sout.'!O:O, $F19)*$K20/$M20,0)/$I$1*(1-0.8*N20)</f>
        <v>0</v>
      </c>
      <c r="V20" s="1502" cm="1">
        <f t="array" aca="1" ref="V20" ca="1">IFERROR(INDEX('Enveloppe du bâtiment sout.'!K:K, $F19)*$K$15,0)/$I$1*(1-0.8*N20)</f>
        <v>0</v>
      </c>
      <c r="W20" s="1416">
        <f t="shared" ca="1" si="16"/>
        <v>0</v>
      </c>
      <c r="X20" s="1416">
        <f t="shared" ca="1" si="16"/>
        <v>0</v>
      </c>
      <c r="Y20" s="256" cm="1">
        <f t="array" aca="1" ref="Y20" ca="1">_xlfn.SWITCH(T20,Y$3,V20+Z20,W$3,W20,0)</f>
        <v>0</v>
      </c>
      <c r="Z20" s="1410" cm="1">
        <f t="array" aca="1" ref="Z20" ca="1">IFERROR(INDEX('Enveloppe du bâtiment sout.'!L:L, $F19)*$K$15,0)/$I$1*(1-0.8*N20)</f>
        <v>0</v>
      </c>
      <c r="AA20" s="1460">
        <f t="shared" ca="1" si="17"/>
        <v>0</v>
      </c>
      <c r="AB20" s="1460"/>
    </row>
    <row r="21" spans="2:28" ht="15.75" outlineLevel="1">
      <c r="B21" s="1871"/>
      <c r="C21" s="1886"/>
      <c r="D21" s="1047"/>
      <c r="E21" s="261"/>
      <c r="F21" s="163">
        <f t="shared" ca="1" si="18"/>
        <v>2</v>
      </c>
      <c r="G21" s="163" cm="1">
        <f t="array" aca="1" ref="G21" ca="1">INDEX('Enveloppe du bâtiment sout.'!C:C, $F20)</f>
        <v>0</v>
      </c>
      <c r="H21" s="163" cm="1">
        <f t="array" aca="1" ref="H21" ca="1">INDEX('Enveloppe du bâtiment sout.'!D:D, $F20)</f>
        <v>0</v>
      </c>
      <c r="I21" s="163" cm="1">
        <f t="array" aca="1" ref="I21" ca="1">INDEX('Enveloppe du bâtiment sout.'!G:G, $F20)</f>
        <v>0</v>
      </c>
      <c r="J21" s="163">
        <f ca="1">_xlfn.XLOOKUP($I21,'Baumaterialien Matériaux'!A:A,'Baumaterialien Matériaux'!G:G,0,0)</f>
        <v>0</v>
      </c>
      <c r="K21" s="262">
        <f t="shared" ca="1" si="19"/>
        <v>0</v>
      </c>
      <c r="L21" s="262" cm="1">
        <f t="array" aca="1" ref="L21" ca="1">INDEX('Enveloppe du bâtiment sout.'!J:J, $F20)</f>
        <v>0</v>
      </c>
      <c r="M21" s="1521" cm="1">
        <f t="array" aca="1" ref="M21" ca="1">INDEX('Enveloppe du bâtiment sout.'!H:H, $F20)</f>
        <v>0</v>
      </c>
      <c r="N21" s="1627">
        <f>'Outil détaillé'!E$11</f>
        <v>0</v>
      </c>
      <c r="O21" s="1502" cm="1">
        <f t="array" aca="1" ref="O21" ca="1">IFERROR(INDEX('Enveloppe du bâtiment sout.'!M:M, $F20)*$K$15,0)/$I$1*(1-0.8*N21)</f>
        <v>0</v>
      </c>
      <c r="P21" s="1416">
        <f t="shared" ca="1" si="14"/>
        <v>0</v>
      </c>
      <c r="Q21" s="1416">
        <f t="shared" ca="1" si="14"/>
        <v>0</v>
      </c>
      <c r="R21" s="256" cm="1">
        <f t="array" aca="1" ref="R21" ca="1">_xlfn.SWITCH(L21,R$3,O21+S21,P$3,P21,0)</f>
        <v>0</v>
      </c>
      <c r="S21" s="1410" cm="1">
        <f t="array" aca="1" ref="S21" ca="1">IFERROR(INDEX('Enveloppe du bâtiment sout.'!N:N, $F20)*$K$15,0)/$I$1*(1-0.8*N21)</f>
        <v>0</v>
      </c>
      <c r="T21" s="1411">
        <f t="shared" ca="1" si="15"/>
        <v>0</v>
      </c>
      <c r="U21" s="1530" cm="1">
        <f t="array" aca="1" ref="U21" ca="1">IFERROR(INDEX('Enveloppe du bâtiment sout.'!O:O, $F20)*$K21/$M21,0)/$I$1*(1-0.8*N21)</f>
        <v>0</v>
      </c>
      <c r="V21" s="1502" cm="1">
        <f t="array" aca="1" ref="V21" ca="1">IFERROR(INDEX('Enveloppe du bâtiment sout.'!K:K, $F20)*$K$15,0)/$I$1*(1-0.8*N21)</f>
        <v>0</v>
      </c>
      <c r="W21" s="1416">
        <f t="shared" ca="1" si="16"/>
        <v>0</v>
      </c>
      <c r="X21" s="1416">
        <f t="shared" ca="1" si="16"/>
        <v>0</v>
      </c>
      <c r="Y21" s="256" cm="1">
        <f t="array" aca="1" ref="Y21" ca="1">_xlfn.SWITCH(T21,Y$3,V21+Z21,W$3,W21,0)</f>
        <v>0</v>
      </c>
      <c r="Z21" s="1410" cm="1">
        <f t="array" aca="1" ref="Z21" ca="1">IFERROR(INDEX('Enveloppe du bâtiment sout.'!L:L, $F20)*$K$15,0)/$I$1*(1-0.8*N21)</f>
        <v>0</v>
      </c>
      <c r="AA21" s="1460">
        <f t="shared" ca="1" si="17"/>
        <v>0</v>
      </c>
      <c r="AB21" s="1460"/>
    </row>
    <row r="22" spans="2:28" ht="15.75" outlineLevel="1">
      <c r="B22" s="1871"/>
      <c r="C22" s="1886"/>
      <c r="D22" s="1047"/>
      <c r="E22" s="261"/>
      <c r="F22" s="163">
        <f t="shared" ca="1" si="18"/>
        <v>2</v>
      </c>
      <c r="G22" s="163" cm="1">
        <f t="array" aca="1" ref="G22" ca="1">INDEX('Enveloppe du bâtiment sout.'!C:C, $F21)</f>
        <v>0</v>
      </c>
      <c r="H22" s="163" cm="1">
        <f t="array" aca="1" ref="H22" ca="1">INDEX('Enveloppe du bâtiment sout.'!D:D, $F21)</f>
        <v>0</v>
      </c>
      <c r="I22" s="163" cm="1">
        <f t="array" aca="1" ref="I22" ca="1">INDEX('Enveloppe du bâtiment sout.'!G:G, $F21)</f>
        <v>0</v>
      </c>
      <c r="J22" s="163">
        <f ca="1">_xlfn.XLOOKUP($I22,'Baumaterialien Matériaux'!A:A,'Baumaterialien Matériaux'!G:G,0,0)</f>
        <v>0</v>
      </c>
      <c r="K22" s="262">
        <f t="shared" ca="1" si="19"/>
        <v>0</v>
      </c>
      <c r="L22" s="262" cm="1">
        <f t="array" aca="1" ref="L22" ca="1">INDEX('Enveloppe du bâtiment sout.'!J:J, $F21)</f>
        <v>0</v>
      </c>
      <c r="M22" s="1521" cm="1">
        <f t="array" aca="1" ref="M22" ca="1">INDEX('Enveloppe du bâtiment sout.'!H:H, $F21)</f>
        <v>0</v>
      </c>
      <c r="N22" s="1627">
        <f>'Outil détaillé'!E$11</f>
        <v>0</v>
      </c>
      <c r="O22" s="1502" cm="1">
        <f t="array" aca="1" ref="O22" ca="1">IFERROR(INDEX('Enveloppe du bâtiment sout.'!M:M, $F21)*$K22/$M22,0)/$I$1*(1-0.8*N22)</f>
        <v>0</v>
      </c>
      <c r="P22" s="1416">
        <f t="shared" ca="1" si="14"/>
        <v>0</v>
      </c>
      <c r="Q22" s="1416">
        <f t="shared" ca="1" si="14"/>
        <v>0</v>
      </c>
      <c r="R22" s="256" cm="1">
        <f t="array" aca="1" ref="R22" ca="1">_xlfn.SWITCH(L22,R$3,O22+S22,P$3,P22,0)</f>
        <v>0</v>
      </c>
      <c r="S22" s="1410" cm="1">
        <f t="array" aca="1" ref="S22" ca="1">IFERROR(INDEX('Enveloppe du bâtiment sout.'!N:N, $F21)*$K22/$M22,0)/$I$1*(1-0.8*N22)</f>
        <v>0</v>
      </c>
      <c r="T22" s="1411">
        <f t="shared" ca="1" si="15"/>
        <v>0</v>
      </c>
      <c r="U22" s="1530" cm="1">
        <f t="array" aca="1" ref="U22" ca="1">IFERROR(INDEX('Enveloppe du bâtiment sout.'!O:O, $F21)*$K22/$M22,0)/$I$1*(1-0.8*N22)</f>
        <v>0</v>
      </c>
      <c r="V22" s="1502" cm="1">
        <f t="array" aca="1" ref="V22" ca="1">IFERROR(INDEX('Enveloppe du bâtiment sout.'!K:K, $F21)*$K22/$M22,0)/$I$1*(1-0.8*N22)</f>
        <v>0</v>
      </c>
      <c r="W22" s="1416">
        <f t="shared" ca="1" si="16"/>
        <v>0</v>
      </c>
      <c r="X22" s="1416">
        <f t="shared" ca="1" si="16"/>
        <v>0</v>
      </c>
      <c r="Y22" s="256" cm="1">
        <f t="array" aca="1" ref="Y22" ca="1">_xlfn.SWITCH(T22,Y$3,V22+Z22,W$3,W22,0)</f>
        <v>0</v>
      </c>
      <c r="Z22" s="1410" cm="1">
        <f t="array" aca="1" ref="Z22" ca="1">IFERROR(INDEX('Enveloppe du bâtiment sout.'!L:L, $F21)*$K22/$M22,0)/$I$1*(1-0.8*N22)</f>
        <v>0</v>
      </c>
      <c r="AA22" s="1460">
        <f t="shared" ca="1" si="17"/>
        <v>0</v>
      </c>
      <c r="AB22" s="1460"/>
    </row>
    <row r="23" spans="2:28" ht="15.75">
      <c r="B23" s="1871"/>
      <c r="C23" s="1886"/>
      <c r="D23" s="263" t="str">
        <f>'Outil détaillé'!D12</f>
        <v>Radiers</v>
      </c>
      <c r="E23" s="263" t="str">
        <f>'Outil détaillé'!F12</f>
        <v>non-isolés</v>
      </c>
      <c r="F23" s="164">
        <f ca="1">MATCH(E23, INDIRECT("'Enveloppe du bâtiment sout.'!A"&amp;F14+1&amp;":A500"),0)+F14</f>
        <v>4</v>
      </c>
      <c r="G23" s="164"/>
      <c r="H23" s="164"/>
      <c r="I23" s="164"/>
      <c r="J23" s="164" t="s">
        <v>87</v>
      </c>
      <c r="K23" s="270">
        <f>'Outil détaillé'!K12</f>
        <v>80</v>
      </c>
      <c r="L23" s="271"/>
      <c r="M23" s="1467"/>
      <c r="N23" s="1623"/>
      <c r="O23" s="1488">
        <f t="shared" ref="O23" ca="1" si="20">SUM(O24:O30)</f>
        <v>46.144480573248416</v>
      </c>
      <c r="P23" s="1489">
        <f>SUM(P24:P30)</f>
        <v>0</v>
      </c>
      <c r="Q23" s="1489">
        <f>SUM(Q24:Q30)</f>
        <v>0</v>
      </c>
      <c r="R23" s="1489">
        <f ca="1">SUM(R24:R30)</f>
        <v>0</v>
      </c>
      <c r="S23" s="1489">
        <f ca="1">SUM(S24:S30)</f>
        <v>5.4291554140127394</v>
      </c>
      <c r="T23" s="1489">
        <f ca="1">SUM(T24:T30)</f>
        <v>51.573635987261156</v>
      </c>
      <c r="U23" s="1490">
        <f t="shared" ref="U23" ca="1" si="21">SUM(U24:U30)</f>
        <v>0</v>
      </c>
      <c r="V23" s="1488">
        <f t="shared" ref="V23" ca="1" si="22">SUM(V24:V30)</f>
        <v>101.03157308917199</v>
      </c>
      <c r="W23" s="1489">
        <f>SUM(W24:W30)</f>
        <v>0</v>
      </c>
      <c r="X23" s="1489">
        <f>SUM(X24:X30)</f>
        <v>0</v>
      </c>
      <c r="Y23" s="1489">
        <f ca="1">SUM(Y24:Y30)</f>
        <v>0</v>
      </c>
      <c r="Z23" s="1489">
        <f ca="1">SUM(Z24:Z30)</f>
        <v>22.140043471337581</v>
      </c>
      <c r="AA23" s="1490">
        <f ca="1">SUM(AA24:AA30)</f>
        <v>123.17161656050958</v>
      </c>
      <c r="AB23" s="1490"/>
    </row>
    <row r="24" spans="2:28" ht="15.75" outlineLevel="1">
      <c r="B24" s="1871"/>
      <c r="C24" s="1886"/>
      <c r="D24" s="1047"/>
      <c r="E24" s="261">
        <f ca="1">IF(I24=0,2,IF(OR(OR(F21="2",F21=""),OR(F22="2",F22="")),F23,F23+1))</f>
        <v>5</v>
      </c>
      <c r="F24" s="163">
        <f ca="1">IF(I24=0,2,F23+1)</f>
        <v>5</v>
      </c>
      <c r="G24" s="163" t="str" cm="1">
        <f t="array" aca="1" ref="G24" ca="1">INDEX('Enveloppe du bâtiment sout.'!C:C, $F23)</f>
        <v>Magerbeton / Béton maigre 7 cm [kg], 2'150 [kg/m3]</v>
      </c>
      <c r="H24" s="163" t="str" cm="1">
        <f t="array" aca="1" ref="H24" ca="1">INDEX('Enveloppe du bâtiment sout.'!D:D, $F23)</f>
        <v>Béton maigre (sans armature)</v>
      </c>
      <c r="I24" s="163" t="str" cm="1">
        <f t="array" aca="1" ref="I24" ca="1">INDEX('Enveloppe du bâtiment sout.'!G:G, $F23)</f>
        <v>01.001</v>
      </c>
      <c r="J24" s="163" t="str">
        <f ca="1">_xlfn.XLOOKUP($I24,'Baumaterialien Matériaux'!A:A,'Baumaterialien Matériaux'!G:G,0,0)</f>
        <v>kg</v>
      </c>
      <c r="K24" s="262">
        <f ca="1">M24*$K$23</f>
        <v>12040.000000000002</v>
      </c>
      <c r="L24" s="283">
        <f>Hypothèses!$D$54</f>
        <v>60</v>
      </c>
      <c r="M24" s="1522" cm="1">
        <f t="array" aca="1" ref="M24" ca="1">INDEX('Enveloppe du bâtiment sout.'!H:H, $F23)</f>
        <v>150.50000000000003</v>
      </c>
      <c r="N24" s="1627">
        <f>'Outil détaillé'!E$12</f>
        <v>0</v>
      </c>
      <c r="O24" s="1502" cm="1">
        <f t="array" aca="1" ref="O24" ca="1">IFERROR(INDEX('Enveloppe du bâtiment sout.'!M:M, $F23)*$K24/$M24,0)/$I$1*(1-0.8*N24)</f>
        <v>3.7775500000000002</v>
      </c>
      <c r="P24" s="1416">
        <f t="shared" ref="P24:Q30" si="23">IF($L24=P$3,$O24+$S24,0)</f>
        <v>0</v>
      </c>
      <c r="Q24" s="1416">
        <f t="shared" si="23"/>
        <v>0</v>
      </c>
      <c r="R24" s="256" cm="1">
        <f t="array" aca="1" ref="R24" ca="1">_xlfn.SWITCH(L24,R$3,O24+S24,P$3,P24,0)</f>
        <v>0</v>
      </c>
      <c r="S24" s="1410" cm="1">
        <f t="array" aca="1" ref="S24" ca="1">IFERROR(INDEX('Enveloppe du bâtiment sout.'!N:N, $F23)*$K24/$M24,0)/$I$1*(1-0.8*N24)</f>
        <v>0.94815000000000027</v>
      </c>
      <c r="T24" s="1411">
        <f t="shared" ref="T24:T30" ca="1" si="24">SUM(O24:S24)</f>
        <v>4.7257000000000007</v>
      </c>
      <c r="U24" s="1530" cm="1">
        <f t="array" aca="1" ref="U24" ca="1">IFERROR(INDEX('Enveloppe du bâtiment sout.'!O:O, $F23)*$K24/$M24,0)/$I$1*(1-0.8*N24)</f>
        <v>0</v>
      </c>
      <c r="V24" s="1502" cm="1">
        <f t="array" aca="1" ref="V24" ca="1">IFERROR(INDEX('Enveloppe du bâtiment sout.'!K:K, $F23)*$K24/$M24,0)/$I$1*(1-0.8*N24)</f>
        <v>5.7716750000000001</v>
      </c>
      <c r="W24" s="1416">
        <f t="shared" ref="W24:X30" si="25">IF($L24=W$3,$V24+$Z24,0)</f>
        <v>0</v>
      </c>
      <c r="X24" s="1416">
        <f t="shared" si="25"/>
        <v>0</v>
      </c>
      <c r="Y24" s="256" cm="1">
        <f t="array" aca="1" ref="Y24" ca="1">_xlfn.SWITCH(T24,Y$3,V24+Z24,W$3,W24,0)</f>
        <v>0</v>
      </c>
      <c r="Z24" s="1410" cm="1">
        <f t="array" aca="1" ref="Z24" ca="1">IFERROR(INDEX('Enveloppe du bâtiment sout.'!L:L, $F23)*$K24/$M24,0)/$I$1*(1-0.8*N24)</f>
        <v>3.8829000000000007</v>
      </c>
      <c r="AA24" s="1460">
        <f t="shared" ref="AA24:AA30" ca="1" si="26">SUM(V24:Z24)</f>
        <v>9.6545750000000012</v>
      </c>
      <c r="AB24" s="1460"/>
    </row>
    <row r="25" spans="2:28" ht="15.75" outlineLevel="1">
      <c r="B25" s="1871"/>
      <c r="C25" s="1886"/>
      <c r="D25" s="1047"/>
      <c r="E25" s="261"/>
      <c r="F25" s="163">
        <f t="shared" ref="F25:F30" ca="1" si="27">IF(I25=0,2,F24+1)</f>
        <v>6</v>
      </c>
      <c r="G25" s="163" t="str" cm="1">
        <f t="array" aca="1" ref="G25" ca="1">INDEX('Enveloppe du bâtiment sout.'!C:C, $F24)</f>
        <v>Hochbaubeton / béton pour bâtiment, 30 cm [kg], 2'300 [kg/m3]</v>
      </c>
      <c r="H25" s="163" t="str" cm="1">
        <f t="array" aca="1" ref="H25" ca="1">INDEX('Enveloppe du bâtiment sout.'!D:D, $F24)</f>
        <v>Béton pour bâtiment (sans armature)</v>
      </c>
      <c r="I25" s="163" t="str" cm="1">
        <f t="array" aca="1" ref="I25" ca="1">INDEX('Enveloppe du bâtiment sout.'!G:G, $F24)</f>
        <v>01.002</v>
      </c>
      <c r="J25" s="163" t="str">
        <f ca="1">_xlfn.XLOOKUP($I25,'Baumaterialien Matériaux'!A:A,'Baumaterialien Matériaux'!G:G,0,0)</f>
        <v>kg</v>
      </c>
      <c r="K25" s="262">
        <f t="shared" ref="K25:K30" ca="1" si="28">M25*$K$23</f>
        <v>54461.656050955418</v>
      </c>
      <c r="L25" s="283">
        <f>Hypothèses!$D$54</f>
        <v>60</v>
      </c>
      <c r="M25" s="1522" cm="1">
        <f t="array" aca="1" ref="M25" ca="1">INDEX('Enveloppe du bâtiment sout.'!H:H, $F24)</f>
        <v>680.77070063694271</v>
      </c>
      <c r="N25" s="1627">
        <f>'Outil détaillé'!E$12</f>
        <v>0</v>
      </c>
      <c r="O25" s="1502" cm="1">
        <f t="array" aca="1" ref="O25" ca="1">IFERROR(INDEX('Enveloppe du bâtiment sout.'!M:M, $F24)*$K25/$M25,0)/$I$1*(1-0.8*N25)</f>
        <v>30.192180573248415</v>
      </c>
      <c r="P25" s="1416">
        <f t="shared" si="23"/>
        <v>0</v>
      </c>
      <c r="Q25" s="1416">
        <f t="shared" si="23"/>
        <v>0</v>
      </c>
      <c r="R25" s="256" cm="1">
        <f t="array" aca="1" ref="R25" ca="1">_xlfn.SWITCH(L25,R$3,O25+S25,P$3,P25,0)</f>
        <v>0</v>
      </c>
      <c r="S25" s="1410" cm="1">
        <f t="array" aca="1" ref="S25" ca="1">IFERROR(INDEX('Enveloppe du bâtiment sout.'!N:N, $F24)*$K25/$M25,0)/$I$1*(1-0.8*N25)</f>
        <v>4.2888554140127395</v>
      </c>
      <c r="T25" s="1411">
        <f t="shared" ca="1" si="24"/>
        <v>34.481035987261151</v>
      </c>
      <c r="U25" s="1530" cm="1">
        <f t="array" aca="1" ref="U25" ca="1">IFERROR(INDEX('Enveloppe du bâtiment sout.'!O:O, $F24)*$K25/$M25,0)/$I$1*(1-0.8*N25)</f>
        <v>0</v>
      </c>
      <c r="V25" s="1502" cm="1">
        <f t="array" aca="1" ref="V25" ca="1">IFERROR(INDEX('Enveloppe du bâtiment sout.'!K:K, $F24)*$K25/$M25,0)/$I$1*(1-0.8*N25)</f>
        <v>41.867398089171978</v>
      </c>
      <c r="W25" s="1416">
        <f t="shared" si="25"/>
        <v>0</v>
      </c>
      <c r="X25" s="1416">
        <f t="shared" si="25"/>
        <v>0</v>
      </c>
      <c r="Y25" s="256" cm="1">
        <f t="array" aca="1" ref="Y25" ca="1">_xlfn.SWITCH(T25,Y$3,V25+Z25,W$3,W25,0)</f>
        <v>0</v>
      </c>
      <c r="Z25" s="1410" cm="1">
        <f t="array" aca="1" ref="Z25" ca="1">IFERROR(INDEX('Enveloppe du bâtiment sout.'!L:L, $F24)*$K25/$M25,0)/$I$1*(1-0.8*N25)</f>
        <v>17.461768471337582</v>
      </c>
      <c r="AA25" s="1460">
        <f t="shared" ca="1" si="26"/>
        <v>59.329166560509563</v>
      </c>
      <c r="AB25" s="1460"/>
    </row>
    <row r="26" spans="2:28" ht="15.75" outlineLevel="1">
      <c r="B26" s="1871"/>
      <c r="C26" s="1886"/>
      <c r="D26" s="1047"/>
      <c r="E26" s="261"/>
      <c r="F26" s="163">
        <f t="shared" ca="1" si="27"/>
        <v>7</v>
      </c>
      <c r="G26" s="163" t="str" cm="1">
        <f t="array" aca="1" ref="G26" ca="1">INDEX('Enveloppe du bâtiment sout.'!C:C, $F25)</f>
        <v>Armierungsstahl / Acier d'armature [kg], 7'850 [kg/m3]</v>
      </c>
      <c r="H26" s="163" t="str" cm="1">
        <f t="array" aca="1" ref="H26" ca="1">INDEX('Enveloppe du bâtiment sout.'!D:D, $F25)</f>
        <v>Acier d'armature</v>
      </c>
      <c r="I26" s="163" t="str" cm="1">
        <f t="array" aca="1" ref="I26" ca="1">INDEX('Enveloppe du bâtiment sout.'!G:G, $F25)</f>
        <v>06.003</v>
      </c>
      <c r="J26" s="163" t="str">
        <f ca="1">_xlfn.XLOOKUP($I26,'Baumaterialien Matériaux'!A:A,'Baumaterialien Matériaux'!G:G,0,0)</f>
        <v>kg</v>
      </c>
      <c r="K26" s="262">
        <f t="shared" ca="1" si="28"/>
        <v>2520</v>
      </c>
      <c r="L26" s="283">
        <f>Hypothèses!$D$54</f>
        <v>60</v>
      </c>
      <c r="M26" s="1522" cm="1">
        <f t="array" aca="1" ref="M26" ca="1">INDEX('Enveloppe du bâtiment sout.'!H:H, $F25)</f>
        <v>31.5</v>
      </c>
      <c r="N26" s="1627">
        <f>'Outil détaillé'!E$12</f>
        <v>0</v>
      </c>
      <c r="O26" s="1502" cm="1">
        <f t="array" aca="1" ref="O26" ca="1">IFERROR(INDEX('Enveloppe du bâtiment sout.'!M:M, $F25)*$K26/$M26,0)/$I$1*(1-0.8*N26)</f>
        <v>12.17475</v>
      </c>
      <c r="P26" s="1416">
        <f t="shared" si="23"/>
        <v>0</v>
      </c>
      <c r="Q26" s="1416">
        <f t="shared" si="23"/>
        <v>0</v>
      </c>
      <c r="R26" s="256" cm="1">
        <f t="array" aca="1" ref="R26" ca="1">_xlfn.SWITCH(L26,R$3,O26+S26,P$3,P26,0)</f>
        <v>0</v>
      </c>
      <c r="S26" s="1410" cm="1">
        <f t="array" aca="1" ref="S26" ca="1">IFERROR(INDEX('Enveloppe du bâtiment sout.'!N:N, $F25)*$K26/$M26,0)/$I$1*(1-0.8*N26)</f>
        <v>0.19214999999999999</v>
      </c>
      <c r="T26" s="1411">
        <f t="shared" ca="1" si="24"/>
        <v>12.366899999999999</v>
      </c>
      <c r="U26" s="1530" cm="1">
        <f t="array" aca="1" ref="U26" ca="1">IFERROR(INDEX('Enveloppe du bâtiment sout.'!O:O, $F25)*$K26/$M26,0)/$I$1*(1-0.8*N26)</f>
        <v>0</v>
      </c>
      <c r="V26" s="1502" cm="1">
        <f t="array" aca="1" ref="V26" ca="1">IFERROR(INDEX('Enveloppe du bâtiment sout.'!K:K, $F25)*$K26/$M26,0)/$I$1*(1-0.8*N26)</f>
        <v>53.392500000000005</v>
      </c>
      <c r="W26" s="1416">
        <f t="shared" si="25"/>
        <v>0</v>
      </c>
      <c r="X26" s="1416">
        <f t="shared" si="25"/>
        <v>0</v>
      </c>
      <c r="Y26" s="256" cm="1">
        <f t="array" aca="1" ref="Y26" ca="1">_xlfn.SWITCH(T26,Y$3,V26+Z26,W$3,W26,0)</f>
        <v>0</v>
      </c>
      <c r="Z26" s="1410" cm="1">
        <f t="array" aca="1" ref="Z26" ca="1">IFERROR(INDEX('Enveloppe du bâtiment sout.'!L:L, $F25)*$K26/$M26,0)/$I$1*(1-0.8*N26)</f>
        <v>0.79537500000000005</v>
      </c>
      <c r="AA26" s="1460">
        <f t="shared" ca="1" si="26"/>
        <v>54.187875000000005</v>
      </c>
      <c r="AB26" s="1460"/>
    </row>
    <row r="27" spans="2:28" ht="15.75" outlineLevel="1">
      <c r="B27" s="1871"/>
      <c r="C27" s="1886"/>
      <c r="D27" s="1047"/>
      <c r="E27" s="261"/>
      <c r="F27" s="163">
        <f t="shared" ca="1" si="27"/>
        <v>2</v>
      </c>
      <c r="G27" s="163" cm="1">
        <f t="array" aca="1" ref="G27" ca="1">INDEX('Enveloppe du bâtiment sout.'!C:C, $F26)</f>
        <v>0</v>
      </c>
      <c r="H27" s="163" cm="1">
        <f t="array" aca="1" ref="H27" ca="1">INDEX('Enveloppe du bâtiment sout.'!D:D, $F26)</f>
        <v>0</v>
      </c>
      <c r="I27" s="163" cm="1">
        <f t="array" aca="1" ref="I27" ca="1">INDEX('Enveloppe du bâtiment sout.'!G:G, $F26)</f>
        <v>0</v>
      </c>
      <c r="J27" s="163">
        <f ca="1">_xlfn.XLOOKUP($I27,'Baumaterialien Matériaux'!A:A,'Baumaterialien Matériaux'!G:G,0,0)</f>
        <v>0</v>
      </c>
      <c r="K27" s="262">
        <f t="shared" ca="1" si="28"/>
        <v>0</v>
      </c>
      <c r="L27" s="283">
        <f>Hypothèses!$D$54</f>
        <v>60</v>
      </c>
      <c r="M27" s="1522" cm="1">
        <f t="array" aca="1" ref="M27" ca="1">INDEX('Enveloppe du bâtiment sout.'!H:H, $F26)</f>
        <v>0</v>
      </c>
      <c r="N27" s="1627">
        <f>'Outil détaillé'!E$12</f>
        <v>0</v>
      </c>
      <c r="O27" s="1502" cm="1">
        <f t="array" aca="1" ref="O27" ca="1">IFERROR(INDEX('Enveloppe du bâtiment sout.'!M:M, $F26)*$K27/$M27,0)/$I$1*(1-0.8*N27)</f>
        <v>0</v>
      </c>
      <c r="P27" s="1416">
        <f t="shared" si="23"/>
        <v>0</v>
      </c>
      <c r="Q27" s="1416">
        <f t="shared" si="23"/>
        <v>0</v>
      </c>
      <c r="R27" s="256" cm="1">
        <f t="array" aca="1" ref="R27" ca="1">_xlfn.SWITCH(L27,R$3,O27+S27,P$3,P27,0)</f>
        <v>0</v>
      </c>
      <c r="S27" s="1410" cm="1">
        <f t="array" aca="1" ref="S27" ca="1">IFERROR(INDEX('Enveloppe du bâtiment sout.'!N:N, $F26)*$K27/$M27,0)/$I$1*(1-0.8*N27)</f>
        <v>0</v>
      </c>
      <c r="T27" s="1411">
        <f t="shared" ca="1" si="24"/>
        <v>0</v>
      </c>
      <c r="U27" s="1530" cm="1">
        <f t="array" aca="1" ref="U27" ca="1">IFERROR(INDEX('Enveloppe du bâtiment sout.'!O:O, $F26)*$K27/$M27,0)/$I$1*(1-0.8*N27)</f>
        <v>0</v>
      </c>
      <c r="V27" s="1502" cm="1">
        <f t="array" aca="1" ref="V27" ca="1">IFERROR(INDEX('Enveloppe du bâtiment sout.'!K:K, $F26)*$K27/$M27,0)/$I$1*(1-0.8*N27)</f>
        <v>0</v>
      </c>
      <c r="W27" s="1416">
        <f t="shared" si="25"/>
        <v>0</v>
      </c>
      <c r="X27" s="1416">
        <f t="shared" si="25"/>
        <v>0</v>
      </c>
      <c r="Y27" s="256" cm="1">
        <f t="array" aca="1" ref="Y27" ca="1">_xlfn.SWITCH(T27,Y$3,V27+Z27,W$3,W27,0)</f>
        <v>0</v>
      </c>
      <c r="Z27" s="1410" cm="1">
        <f t="array" aca="1" ref="Z27" ca="1">IFERROR(INDEX('Enveloppe du bâtiment sout.'!L:L, $F26)*$K27/$M27,0)/$I$1*(1-0.8*N27)</f>
        <v>0</v>
      </c>
      <c r="AA27" s="1460">
        <f t="shared" ca="1" si="26"/>
        <v>0</v>
      </c>
      <c r="AB27" s="1460"/>
    </row>
    <row r="28" spans="2:28" ht="15.75" outlineLevel="1">
      <c r="B28" s="1871"/>
      <c r="C28" s="1886"/>
      <c r="D28" s="1047"/>
      <c r="E28" s="261"/>
      <c r="F28" s="163">
        <f t="shared" ca="1" si="27"/>
        <v>2</v>
      </c>
      <c r="G28" s="163" cm="1">
        <f t="array" aca="1" ref="G28" ca="1">INDEX('Enveloppe du bâtiment sout.'!C:C, $F27)</f>
        <v>0</v>
      </c>
      <c r="H28" s="163" cm="1">
        <f t="array" aca="1" ref="H28" ca="1">INDEX('Enveloppe du bâtiment sout.'!D:D, $F27)</f>
        <v>0</v>
      </c>
      <c r="I28" s="163" cm="1">
        <f t="array" aca="1" ref="I28" ca="1">INDEX('Enveloppe du bâtiment sout.'!G:G, $F27)</f>
        <v>0</v>
      </c>
      <c r="J28" s="163">
        <f ca="1">_xlfn.XLOOKUP($I28,'Baumaterialien Matériaux'!A:A,'Baumaterialien Matériaux'!G:G,0,0)</f>
        <v>0</v>
      </c>
      <c r="K28" s="262">
        <f t="shared" ca="1" si="28"/>
        <v>0</v>
      </c>
      <c r="L28" s="283">
        <f>Hypothèses!$D$54</f>
        <v>60</v>
      </c>
      <c r="M28" s="1522" cm="1">
        <f t="array" aca="1" ref="M28" ca="1">INDEX('Enveloppe du bâtiment sout.'!H:H, $F27)</f>
        <v>0</v>
      </c>
      <c r="N28" s="1627">
        <f>'Outil détaillé'!E$12</f>
        <v>0</v>
      </c>
      <c r="O28" s="1502" cm="1">
        <f t="array" aca="1" ref="O28" ca="1">IFERROR(INDEX('Enveloppe du bâtiment sout.'!M:M, $F27)*$K28/$M28,0)/$I$1*(1-0.8*N28)</f>
        <v>0</v>
      </c>
      <c r="P28" s="1416">
        <f t="shared" si="23"/>
        <v>0</v>
      </c>
      <c r="Q28" s="1416">
        <f t="shared" si="23"/>
        <v>0</v>
      </c>
      <c r="R28" s="256" cm="1">
        <f t="array" aca="1" ref="R28" ca="1">_xlfn.SWITCH(L28,R$3,O28+S28,P$3,P28,0)</f>
        <v>0</v>
      </c>
      <c r="S28" s="1410" cm="1">
        <f t="array" aca="1" ref="S28" ca="1">IFERROR(INDEX('Enveloppe du bâtiment sout.'!N:N, $F27)*$K28/$M28,0)/$I$1*(1-0.8*N28)</f>
        <v>0</v>
      </c>
      <c r="T28" s="1411">
        <f t="shared" ca="1" si="24"/>
        <v>0</v>
      </c>
      <c r="U28" s="1530" cm="1">
        <f t="array" aca="1" ref="U28" ca="1">IFERROR(INDEX('Enveloppe du bâtiment sout.'!O:O, $F27)*$K28/$M28,0)/$I$1*(1-0.8*N28)</f>
        <v>0</v>
      </c>
      <c r="V28" s="1502" cm="1">
        <f t="array" aca="1" ref="V28" ca="1">IFERROR(INDEX('Enveloppe du bâtiment sout.'!K:K, $F27)*$K28/$M28,0)/$I$1*(1-0.8*N28)</f>
        <v>0</v>
      </c>
      <c r="W28" s="1416">
        <f t="shared" si="25"/>
        <v>0</v>
      </c>
      <c r="X28" s="1416">
        <f t="shared" si="25"/>
        <v>0</v>
      </c>
      <c r="Y28" s="256" cm="1">
        <f t="array" aca="1" ref="Y28" ca="1">_xlfn.SWITCH(T28,Y$3,V28+Z28,W$3,W28,0)</f>
        <v>0</v>
      </c>
      <c r="Z28" s="1410" cm="1">
        <f t="array" aca="1" ref="Z28" ca="1">IFERROR(INDEX('Enveloppe du bâtiment sout.'!L:L, $F27)*$K28/$M28,0)/$I$1*(1-0.8*N28)</f>
        <v>0</v>
      </c>
      <c r="AA28" s="1460">
        <f t="shared" ca="1" si="26"/>
        <v>0</v>
      </c>
      <c r="AB28" s="1460"/>
    </row>
    <row r="29" spans="2:28" ht="15.75" outlineLevel="1">
      <c r="B29" s="1871"/>
      <c r="C29" s="1886"/>
      <c r="D29" s="1047"/>
      <c r="E29" s="261"/>
      <c r="F29" s="163">
        <f t="shared" ca="1" si="27"/>
        <v>2</v>
      </c>
      <c r="G29" s="163" cm="1">
        <f t="array" aca="1" ref="G29" ca="1">INDEX('Enveloppe du bâtiment sout.'!C:C, $F28)</f>
        <v>0</v>
      </c>
      <c r="H29" s="163" cm="1">
        <f t="array" aca="1" ref="H29" ca="1">INDEX('Enveloppe du bâtiment sout.'!D:D, $F28)</f>
        <v>0</v>
      </c>
      <c r="I29" s="163" cm="1">
        <f t="array" aca="1" ref="I29" ca="1">INDEX('Enveloppe du bâtiment sout.'!G:G, $F28)</f>
        <v>0</v>
      </c>
      <c r="J29" s="163">
        <f ca="1">_xlfn.XLOOKUP($I29,'Baumaterialien Matériaux'!A:A,'Baumaterialien Matériaux'!G:G,0,0)</f>
        <v>0</v>
      </c>
      <c r="K29" s="262">
        <f t="shared" ca="1" si="28"/>
        <v>0</v>
      </c>
      <c r="L29" s="283">
        <f>Hypothèses!$D$54</f>
        <v>60</v>
      </c>
      <c r="M29" s="1522" cm="1">
        <f t="array" aca="1" ref="M29" ca="1">INDEX('Enveloppe du bâtiment sout.'!H:H, $F28)</f>
        <v>0</v>
      </c>
      <c r="N29" s="1627">
        <f>'Outil détaillé'!E$12</f>
        <v>0</v>
      </c>
      <c r="O29" s="1502" cm="1">
        <f t="array" aca="1" ref="O29" ca="1">IFERROR(INDEX('Enveloppe du bâtiment sout.'!M:M, $F28)*$K29/$M29,0)/$I$1*(1-0.8*N29)</f>
        <v>0</v>
      </c>
      <c r="P29" s="1416">
        <f t="shared" si="23"/>
        <v>0</v>
      </c>
      <c r="Q29" s="1416">
        <f t="shared" si="23"/>
        <v>0</v>
      </c>
      <c r="R29" s="256" cm="1">
        <f t="array" aca="1" ref="R29" ca="1">_xlfn.SWITCH(L29,R$3,O29+S29,P$3,P29,0)</f>
        <v>0</v>
      </c>
      <c r="S29" s="1410" cm="1">
        <f t="array" aca="1" ref="S29" ca="1">IFERROR(INDEX('Enveloppe du bâtiment sout.'!N:N, $F28)*$K29/$M29,0)/$I$1*(1-0.8*N29)</f>
        <v>0</v>
      </c>
      <c r="T29" s="1411">
        <f t="shared" ca="1" si="24"/>
        <v>0</v>
      </c>
      <c r="U29" s="1530" cm="1">
        <f t="array" aca="1" ref="U29" ca="1">IFERROR(INDEX('Enveloppe du bâtiment sout.'!O:O, $F28)*$K29/$M29,0)/$I$1*(1-0.8*N29)</f>
        <v>0</v>
      </c>
      <c r="V29" s="1502" cm="1">
        <f t="array" aca="1" ref="V29" ca="1">IFERROR(INDEX('Enveloppe du bâtiment sout.'!K:K, $F28)*$K29/$M29,0)/$I$1*(1-0.8*N29)</f>
        <v>0</v>
      </c>
      <c r="W29" s="1416">
        <f t="shared" si="25"/>
        <v>0</v>
      </c>
      <c r="X29" s="1416">
        <f t="shared" si="25"/>
        <v>0</v>
      </c>
      <c r="Y29" s="256" cm="1">
        <f t="array" aca="1" ref="Y29" ca="1">_xlfn.SWITCH(T29,Y$3,V29+Z29,W$3,W29,0)</f>
        <v>0</v>
      </c>
      <c r="Z29" s="1410" cm="1">
        <f t="array" aca="1" ref="Z29" ca="1">IFERROR(INDEX('Enveloppe du bâtiment sout.'!L:L, $F28)*$K29/$M29,0)/$I$1*(1-0.8*N29)</f>
        <v>0</v>
      </c>
      <c r="AA29" s="1460">
        <f t="shared" ca="1" si="26"/>
        <v>0</v>
      </c>
      <c r="AB29" s="1460"/>
    </row>
    <row r="30" spans="2:28" ht="15.75" outlineLevel="1">
      <c r="B30" s="1871"/>
      <c r="C30" s="1886"/>
      <c r="D30" s="269"/>
      <c r="E30" s="261"/>
      <c r="F30" s="163">
        <f t="shared" ca="1" si="27"/>
        <v>2</v>
      </c>
      <c r="G30" s="163" cm="1">
        <f t="array" aca="1" ref="G30" ca="1">INDEX('Enveloppe du bâtiment sout.'!C:C, $F29)</f>
        <v>0</v>
      </c>
      <c r="H30" s="163" cm="1">
        <f t="array" aca="1" ref="H30" ca="1">INDEX('Enveloppe du bâtiment sout.'!D:D, $F29)</f>
        <v>0</v>
      </c>
      <c r="I30" s="163" cm="1">
        <f t="array" aca="1" ref="I30" ca="1">INDEX('Enveloppe du bâtiment sout.'!G:G, $F29)</f>
        <v>0</v>
      </c>
      <c r="J30" s="163">
        <f ca="1">_xlfn.XLOOKUP($I30,'Baumaterialien Matériaux'!A:A,'Baumaterialien Matériaux'!G:G,0,0)</f>
        <v>0</v>
      </c>
      <c r="K30" s="262">
        <f t="shared" ca="1" si="28"/>
        <v>0</v>
      </c>
      <c r="L30" s="163">
        <v>60</v>
      </c>
      <c r="M30" s="1522" cm="1">
        <f t="array" aca="1" ref="M30" ca="1">INDEX('Enveloppe du bâtiment sout.'!H:H, $F29)</f>
        <v>0</v>
      </c>
      <c r="N30" s="1627">
        <f>'Outil détaillé'!E$12</f>
        <v>0</v>
      </c>
      <c r="O30" s="1502" cm="1">
        <f t="array" aca="1" ref="O30" ca="1">IFERROR(INDEX('Enveloppe du bâtiment sout.'!M:M, $F29)*$K30/$M30,0)/$I$1*(1-0.8*N30)</f>
        <v>0</v>
      </c>
      <c r="P30" s="1416">
        <f t="shared" si="23"/>
        <v>0</v>
      </c>
      <c r="Q30" s="1416">
        <f t="shared" si="23"/>
        <v>0</v>
      </c>
      <c r="R30" s="256" cm="1">
        <f t="array" aca="1" ref="R30" ca="1">_xlfn.SWITCH(L30,R$3,O30+S30,P$3,P30,0)</f>
        <v>0</v>
      </c>
      <c r="S30" s="1410" cm="1">
        <f t="array" aca="1" ref="S30" ca="1">IFERROR(INDEX('Enveloppe du bâtiment sout.'!N:N, $F29)*$K30/$M30,0)/$I$1*(1-0.8*N30)</f>
        <v>0</v>
      </c>
      <c r="T30" s="1411">
        <f t="shared" ca="1" si="24"/>
        <v>0</v>
      </c>
      <c r="U30" s="1530" cm="1">
        <f t="array" aca="1" ref="U30" ca="1">IFERROR(INDEX('Enveloppe du bâtiment sout.'!O:O, $F29)*$K30/$M30,0)/$I$1*(1-0.8*N30)</f>
        <v>0</v>
      </c>
      <c r="V30" s="1502" cm="1">
        <f t="array" aca="1" ref="V30" ca="1">IFERROR(INDEX('Enveloppe du bâtiment sout.'!K:K, $F29)*$K30/$M30,0)/$I$1*(1-0.8*N30)</f>
        <v>0</v>
      </c>
      <c r="W30" s="1416">
        <f t="shared" si="25"/>
        <v>0</v>
      </c>
      <c r="X30" s="1416">
        <f t="shared" si="25"/>
        <v>0</v>
      </c>
      <c r="Y30" s="256" cm="1">
        <f t="array" aca="1" ref="Y30" ca="1">_xlfn.SWITCH(T30,Y$3,V30+Z30,W$3,W30,0)</f>
        <v>0</v>
      </c>
      <c r="Z30" s="1410" cm="1">
        <f t="array" aca="1" ref="Z30" ca="1">IFERROR(INDEX('Enveloppe du bâtiment sout.'!L:L, $F29)*$K30/$M30,0)/$I$1*(1-0.8*N30)</f>
        <v>0</v>
      </c>
      <c r="AA30" s="1460">
        <f t="shared" ca="1" si="26"/>
        <v>0</v>
      </c>
      <c r="AB30" s="1460"/>
    </row>
    <row r="31" spans="2:28" ht="15.75" customHeight="1">
      <c r="B31" s="1871"/>
      <c r="C31" s="1886" t="str">
        <f>'Outil détaillé'!C13</f>
        <v>C02.01 (A) / E01</v>
      </c>
      <c r="D31" s="162" t="str">
        <f>'Outil détaillé'!D13</f>
        <v>Parois extérieures souterraines</v>
      </c>
      <c r="E31" s="162"/>
      <c r="F31" s="162">
        <f>MATCH(D31, 'Enveloppe du bâtiment sout.'!B:B,0)</f>
        <v>26</v>
      </c>
      <c r="G31" s="162"/>
      <c r="H31" s="162"/>
      <c r="I31" s="162"/>
      <c r="J31" s="162"/>
      <c r="K31" s="265"/>
      <c r="L31" s="264"/>
      <c r="M31" s="1523"/>
      <c r="N31" s="1628"/>
      <c r="O31" s="1503">
        <f t="shared" ref="O31" ca="1" si="29">O32</f>
        <v>61.899763566878981</v>
      </c>
      <c r="P31" s="1504">
        <f ca="1">P32</f>
        <v>0</v>
      </c>
      <c r="Q31" s="1504">
        <f ca="1">Q32</f>
        <v>0</v>
      </c>
      <c r="R31" s="1504">
        <f ca="1">R32</f>
        <v>0</v>
      </c>
      <c r="S31" s="1504">
        <f ca="1">S32</f>
        <v>10.984719464968151</v>
      </c>
      <c r="T31" s="1504">
        <f ca="1">T32</f>
        <v>72.884483031847125</v>
      </c>
      <c r="U31" s="1505">
        <f t="shared" ref="U31:V31" ca="1" si="30">U32</f>
        <v>5.9696266666666675</v>
      </c>
      <c r="V31" s="1503">
        <f t="shared" ca="1" si="30"/>
        <v>178.78465477707005</v>
      </c>
      <c r="W31" s="1504">
        <f ca="1">W32</f>
        <v>0</v>
      </c>
      <c r="X31" s="1504">
        <f ca="1">X32</f>
        <v>0</v>
      </c>
      <c r="Y31" s="1504">
        <f ca="1">Y32</f>
        <v>0</v>
      </c>
      <c r="Z31" s="1504">
        <f ca="1">Z32</f>
        <v>25.077101821656047</v>
      </c>
      <c r="AA31" s="1505">
        <f ca="1">AA32</f>
        <v>203.86175659872612</v>
      </c>
      <c r="AB31" s="1505"/>
    </row>
    <row r="32" spans="2:28" ht="15.75">
      <c r="B32" s="1871"/>
      <c r="C32" s="1886"/>
      <c r="D32" s="163" t="str">
        <f>'Outil détaillé'!D14</f>
        <v>Paroi extérieure</v>
      </c>
      <c r="E32" s="164" t="str">
        <f>'Outil détaillé'!F14</f>
        <v>non-isolés</v>
      </c>
      <c r="F32" s="800">
        <f ca="1">MATCH(E32, INDIRECT("'Enveloppe du bâtiment sout.'!A"&amp;F31+1&amp;":A500"),0)+F31</f>
        <v>27</v>
      </c>
      <c r="G32" s="164"/>
      <c r="H32" s="164"/>
      <c r="I32" s="164"/>
      <c r="J32" s="164" t="s">
        <v>87</v>
      </c>
      <c r="K32" s="270">
        <f>'Outil détaillé'!K14</f>
        <v>128</v>
      </c>
      <c r="L32" s="271"/>
      <c r="M32" s="1467"/>
      <c r="N32" s="1623"/>
      <c r="O32" s="1488">
        <f t="shared" ref="O32" ca="1" si="31">SUM(O33:O40)</f>
        <v>61.899763566878981</v>
      </c>
      <c r="P32" s="1489">
        <f ca="1">SUM(P33:P40)</f>
        <v>0</v>
      </c>
      <c r="Q32" s="1489">
        <f ca="1">SUM(Q33:Q40)</f>
        <v>0</v>
      </c>
      <c r="R32" s="1489">
        <f ca="1">SUM(R33:R40)</f>
        <v>0</v>
      </c>
      <c r="S32" s="1489">
        <f ca="1">SUM(S33:S40)</f>
        <v>10.984719464968151</v>
      </c>
      <c r="T32" s="1489">
        <f ca="1">SUM(T33:T40)</f>
        <v>72.884483031847125</v>
      </c>
      <c r="U32" s="1490">
        <f t="shared" ref="U32" ca="1" si="32">SUM(U33:U40)</f>
        <v>5.9696266666666675</v>
      </c>
      <c r="V32" s="1488">
        <f t="shared" ref="V32" ca="1" si="33">SUM(V33:V40)</f>
        <v>178.78465477707005</v>
      </c>
      <c r="W32" s="1489">
        <f ca="1">SUM(W33:W40)</f>
        <v>0</v>
      </c>
      <c r="X32" s="1489">
        <f ca="1">SUM(X33:X40)</f>
        <v>0</v>
      </c>
      <c r="Y32" s="1489">
        <f ca="1">SUM(Y33:Y40)</f>
        <v>0</v>
      </c>
      <c r="Z32" s="1489">
        <f ca="1">SUM(Z33:Z40)</f>
        <v>25.077101821656047</v>
      </c>
      <c r="AA32" s="1490">
        <f ca="1">SUM(AA33:AA40)</f>
        <v>203.86175659872612</v>
      </c>
      <c r="AB32" s="1490"/>
    </row>
    <row r="33" spans="2:28" ht="15.75" customHeight="1" outlineLevel="1">
      <c r="B33" s="1871"/>
      <c r="C33" s="1886"/>
      <c r="D33" s="163"/>
      <c r="E33" s="261"/>
      <c r="F33" s="163">
        <f ca="1">IF(I33=0,2,F32+1)</f>
        <v>28</v>
      </c>
      <c r="G33" s="163" t="str" cm="1">
        <f t="array" aca="1" ref="G33" ca="1">INDEX('Enveloppe du bâtiment sout.'!C:C, $F32)</f>
        <v>Hochbaubeton / béton pour bâtiment, 25 cm [kg], 2'300 [kg/m3]</v>
      </c>
      <c r="H33" s="163" t="str" cm="1">
        <f t="array" aca="1" ref="H33" ca="1">INDEX('Enveloppe du bâtiment sout.'!D:D, $F32)</f>
        <v>Béton pour bâtiment (sans armature)</v>
      </c>
      <c r="I33" s="163" t="str" cm="1">
        <f t="array" aca="1" ref="I33" ca="1">INDEX('Enveloppe du bâtiment sout.'!G:G, $F32)</f>
        <v>01.002</v>
      </c>
      <c r="J33" s="163" t="str">
        <f ca="1">_xlfn.XLOOKUP($I33,'Baumaterialien Matériaux'!A:A,'Baumaterialien Matériaux'!G:G,0,0)</f>
        <v>kg</v>
      </c>
      <c r="K33" s="262">
        <f ca="1">M33*K$32</f>
        <v>72685.859872611458</v>
      </c>
      <c r="L33" s="163" cm="1">
        <f t="array" aca="1" ref="L33" ca="1">INDEX('Enveloppe du bâtiment sout.'!J:J, $F32)</f>
        <v>60</v>
      </c>
      <c r="M33" s="1522" cm="1">
        <f t="array" aca="1" ref="M33" ca="1">INDEX('Enveloppe du bâtiment sout.'!H:H, $F32)</f>
        <v>567.85828025477701</v>
      </c>
      <c r="N33" s="1627">
        <f>'Outil détaillé'!E$14</f>
        <v>0</v>
      </c>
      <c r="O33" s="1502" cm="1">
        <f t="array" aca="1" ref="O33" ca="1">IFERROR(INDEX('Enveloppe du bâtiment sout.'!M:M, $F32)*$K33/$M33,0)/$I$1*(1-0.8*N33)</f>
        <v>40.295223566878981</v>
      </c>
      <c r="P33" s="1416">
        <f t="shared" ref="P33:Q40" ca="1" si="34">IF($L33=P$3,$O33+$S33,0)</f>
        <v>0</v>
      </c>
      <c r="Q33" s="1416">
        <f t="shared" ca="1" si="34"/>
        <v>0</v>
      </c>
      <c r="R33" s="256" cm="1">
        <f t="array" aca="1" ref="R33" ca="1">_xlfn.SWITCH(L33,R$3,O33+S33,P$3,P33,0)</f>
        <v>0</v>
      </c>
      <c r="S33" s="1410" cm="1">
        <f t="array" aca="1" ref="S33" ca="1">IFERROR(INDEX('Enveloppe du bâtiment sout.'!N:N, $F32)*$K33/$M33,0)/$I$1*(1-0.8*N33)</f>
        <v>5.7240114649681519</v>
      </c>
      <c r="T33" s="1411">
        <f t="shared" ref="T33:T37" ca="1" si="35">SUM(O33:S33)</f>
        <v>46.019235031847131</v>
      </c>
      <c r="U33" s="1530" cm="1">
        <f t="array" aca="1" ref="U33" ca="1">IFERROR(INDEX('Enveloppe du bâtiment sout.'!O:O, $F32)*$K33/$M33,0)/$I$1*(1-0.8*N33)</f>
        <v>0</v>
      </c>
      <c r="V33" s="1502" cm="1">
        <f t="array" aca="1" ref="V33" ca="1">IFERROR(INDEX('Enveloppe du bâtiment sout.'!K:K, $F32)*$K33/$M33,0)/$I$1*(1-0.8*N33)</f>
        <v>55.877254777070064</v>
      </c>
      <c r="W33" s="1416">
        <f t="shared" ref="W33:X40" ca="1" si="36">IF($L33=W$3,$V33+$Z33,0)</f>
        <v>0</v>
      </c>
      <c r="X33" s="1416">
        <f t="shared" ca="1" si="36"/>
        <v>0</v>
      </c>
      <c r="Y33" s="256" cm="1">
        <f t="array" aca="1" ref="Y33" ca="1">_xlfn.SWITCH(T33,Y$3,V33+Z33,W$3,W33,0)</f>
        <v>0</v>
      </c>
      <c r="Z33" s="1410" cm="1">
        <f t="array" aca="1" ref="Z33" ca="1">IFERROR(INDEX('Enveloppe du bâtiment sout.'!L:L, $F32)*$K33/$M33,0)/$I$1*(1-0.8*N33)</f>
        <v>23.304903821656048</v>
      </c>
      <c r="AA33" s="1460">
        <f t="shared" ref="AA33:AA37" ca="1" si="37">SUM(V33:Z33)</f>
        <v>79.182158598726119</v>
      </c>
      <c r="AB33" s="1460"/>
    </row>
    <row r="34" spans="2:28" ht="15.75" customHeight="1" outlineLevel="1">
      <c r="B34" s="1871"/>
      <c r="C34" s="1886"/>
      <c r="D34" s="163"/>
      <c r="E34" s="261"/>
      <c r="F34" s="163">
        <f t="shared" ref="F34:F40" ca="1" si="38">IF(I34=0,2,F33+1)</f>
        <v>29</v>
      </c>
      <c r="G34" s="163" t="str" cm="1">
        <f t="array" aca="1" ref="G34" ca="1">INDEX('Enveloppe du bâtiment sout.'!C:C, $F33)</f>
        <v>Armierungsstahl / Acier d'armature [kg], 7'850 [kg/m3]</v>
      </c>
      <c r="H34" s="163" t="str" cm="1">
        <f t="array" aca="1" ref="H34" ca="1">INDEX('Enveloppe du bâtiment sout.'!D:D, $F33)</f>
        <v>Acier d'armature</v>
      </c>
      <c r="I34" s="163" t="str" cm="1">
        <f t="array" aca="1" ref="I34" ca="1">INDEX('Enveloppe du bâtiment sout.'!G:G, $F33)</f>
        <v>06.003</v>
      </c>
      <c r="J34" s="163" t="str">
        <f ca="1">_xlfn.XLOOKUP($I34,'Baumaterialien Matériaux'!A:A,'Baumaterialien Matériaux'!G:G,0,0)</f>
        <v>kg</v>
      </c>
      <c r="K34" s="262">
        <f t="shared" ref="K34:K40" ca="1" si="39">M34*K$32</f>
        <v>3120</v>
      </c>
      <c r="L34" s="163" cm="1">
        <f t="array" aca="1" ref="L34" ca="1">INDEX('Enveloppe du bâtiment sout.'!J:J, $F33)</f>
        <v>60</v>
      </c>
      <c r="M34" s="1522" cm="1">
        <f t="array" aca="1" ref="M34" ca="1">INDEX('Enveloppe du bâtiment sout.'!H:H, $F33)</f>
        <v>24.375</v>
      </c>
      <c r="N34" s="1627">
        <f>'Outil détaillé'!E$14</f>
        <v>0</v>
      </c>
      <c r="O34" s="1502" cm="1">
        <f t="array" aca="1" ref="O34" ca="1">IFERROR(INDEX('Enveloppe du bâtiment sout.'!M:M, $F33)*$K34/$M34,0)/$I$1*(1-0.8*N34)</f>
        <v>15.073500000000001</v>
      </c>
      <c r="P34" s="1416">
        <f t="shared" ca="1" si="34"/>
        <v>0</v>
      </c>
      <c r="Q34" s="1416">
        <f t="shared" ca="1" si="34"/>
        <v>0</v>
      </c>
      <c r="R34" s="256" cm="1">
        <f t="array" aca="1" ref="R34" ca="1">_xlfn.SWITCH(L34,R$3,O34+S34,P$3,P34,0)</f>
        <v>0</v>
      </c>
      <c r="S34" s="1410" cm="1">
        <f t="array" aca="1" ref="S34" ca="1">IFERROR(INDEX('Enveloppe du bâtiment sout.'!N:N, $F33)*$K34/$M34,0)/$I$1*(1-0.8*N34)</f>
        <v>0.2379</v>
      </c>
      <c r="T34" s="1411">
        <f t="shared" ca="1" si="35"/>
        <v>15.311400000000001</v>
      </c>
      <c r="U34" s="1530" cm="1">
        <f t="array" aca="1" ref="U34" ca="1">IFERROR(INDEX('Enveloppe du bâtiment sout.'!O:O, $F33)*$K34/$M34,0)/$I$1*(1-0.8*N34)</f>
        <v>0</v>
      </c>
      <c r="V34" s="1502" cm="1">
        <f t="array" aca="1" ref="V34" ca="1">IFERROR(INDEX('Enveloppe du bâtiment sout.'!K:K, $F33)*$K34/$M34,0)/$I$1*(1-0.8*N34)</f>
        <v>66.105000000000004</v>
      </c>
      <c r="W34" s="1416">
        <f t="shared" ca="1" si="36"/>
        <v>0</v>
      </c>
      <c r="X34" s="1416">
        <f t="shared" ca="1" si="36"/>
        <v>0</v>
      </c>
      <c r="Y34" s="256" cm="1">
        <f t="array" aca="1" ref="Y34" ca="1">_xlfn.SWITCH(T34,Y$3,V34+Z34,W$3,W34,0)</f>
        <v>0</v>
      </c>
      <c r="Z34" s="1410" cm="1">
        <f t="array" aca="1" ref="Z34" ca="1">IFERROR(INDEX('Enveloppe du bâtiment sout.'!L:L, $F33)*$K34/$M34,0)/$I$1*(1-0.8*N34)</f>
        <v>0.98475000000000001</v>
      </c>
      <c r="AA34" s="1460">
        <f t="shared" ca="1" si="37"/>
        <v>67.089750000000009</v>
      </c>
      <c r="AB34" s="1460"/>
    </row>
    <row r="35" spans="2:28" ht="15.75" customHeight="1" outlineLevel="1">
      <c r="B35" s="1871"/>
      <c r="C35" s="1886"/>
      <c r="D35" s="163"/>
      <c r="E35" s="261"/>
      <c r="F35" s="163">
        <f t="shared" ca="1" si="38"/>
        <v>30</v>
      </c>
      <c r="G35" s="163" t="str" cm="1">
        <f t="array" aca="1" ref="G35" ca="1">INDEX('Enveloppe du bâtiment sout.'!C:C, $F34)</f>
        <v>3-SP Schalung/Coffrage 2.5cm (Annahme/Hyp. 5xverwendet/utilisé) [kg]</v>
      </c>
      <c r="H35" s="163" t="str" cm="1">
        <f t="array" aca="1" ref="H35" ca="1">INDEX('Enveloppe du bâtiment sout.'!D:D, $F34)</f>
        <v>Bois massif 3 et 5 plis</v>
      </c>
      <c r="I35" s="163" t="str" cm="1">
        <f t="array" aca="1" ref="I35" ca="1">INDEX('Enveloppe du bâtiment sout.'!G:G, $F34)</f>
        <v>07.001</v>
      </c>
      <c r="J35" s="163" t="str">
        <f ca="1">_xlfn.XLOOKUP($I35,'Baumaterialien Matériaux'!A:A,'Baumaterialien Matériaux'!G:G,0,0)</f>
        <v>kg</v>
      </c>
      <c r="K35" s="262">
        <f t="shared" ca="1" si="39"/>
        <v>601.60000000000014</v>
      </c>
      <c r="L35" s="163" cm="1">
        <f t="array" aca="1" ref="L35" ca="1">INDEX('Enveloppe du bâtiment sout.'!J:J, $F34)</f>
        <v>60</v>
      </c>
      <c r="M35" s="1522" cm="1">
        <f t="array" aca="1" ref="M35" ca="1">INDEX('Enveloppe du bâtiment sout.'!H:H, $F34)</f>
        <v>4.7000000000000011</v>
      </c>
      <c r="N35" s="1627">
        <f>'Outil détaillé'!E$14</f>
        <v>0</v>
      </c>
      <c r="O35" s="1502" cm="1">
        <f t="array" aca="1" ref="O35" ca="1">IFERROR(INDEX('Enveloppe du bâtiment sout.'!M:M, $F34)*$K35/$M35,0)/$I$1*(1-0.8*N35)</f>
        <v>1.5566400000000002</v>
      </c>
      <c r="P35" s="1416">
        <f t="shared" ca="1" si="34"/>
        <v>0</v>
      </c>
      <c r="Q35" s="1416">
        <f t="shared" ca="1" si="34"/>
        <v>0</v>
      </c>
      <c r="R35" s="256" cm="1">
        <f t="array" aca="1" ref="R35" ca="1">_xlfn.SWITCH(L35,R$3,O35+S35,P$3,P35,0)</f>
        <v>0</v>
      </c>
      <c r="S35" s="1410" cm="1">
        <f t="array" aca="1" ref="S35" ca="1">IFERROR(INDEX('Enveloppe du bâtiment sout.'!N:N, $F34)*$K35/$M35,0)/$I$1*(1-0.8*N35)</f>
        <v>0.20792800000000006</v>
      </c>
      <c r="T35" s="1411">
        <f t="shared" ca="1" si="35"/>
        <v>1.7645680000000004</v>
      </c>
      <c r="U35" s="1530" cm="1">
        <f t="array" aca="1" ref="U35" ca="1">IFERROR(INDEX('Enveloppe du bâtiment sout.'!O:O, $F34)*$K35/$M35,0)/$I$1*(1-0.8*N35)</f>
        <v>5.9696266666666675</v>
      </c>
      <c r="V35" s="1502" cm="1">
        <f t="array" aca="1" ref="V35" ca="1">IFERROR(INDEX('Enveloppe du bâtiment sout.'!K:K, $F34)*$K35/$M35,0)/$I$1*(1-0.8*N35)</f>
        <v>7.8584000000000014</v>
      </c>
      <c r="W35" s="1416">
        <f t="shared" ca="1" si="36"/>
        <v>0</v>
      </c>
      <c r="X35" s="1416">
        <f t="shared" ca="1" si="36"/>
        <v>0</v>
      </c>
      <c r="Y35" s="256" cm="1">
        <f t="array" aca="1" ref="Y35" ca="1">_xlfn.SWITCH(T35,Y$3,V35+Z35,W$3,W35,0)</f>
        <v>0</v>
      </c>
      <c r="Z35" s="1410" cm="1">
        <f t="array" aca="1" ref="Z35" ca="1">IFERROR(INDEX('Enveloppe du bâtiment sout.'!L:L, $F34)*$K35/$M35,0)/$I$1*(1-0.8*N35)</f>
        <v>0.34704800000000008</v>
      </c>
      <c r="AA35" s="1460">
        <f t="shared" ca="1" si="37"/>
        <v>8.2054480000000023</v>
      </c>
      <c r="AB35" s="1460"/>
    </row>
    <row r="36" spans="2:28" ht="15.75" customHeight="1" outlineLevel="1">
      <c r="B36" s="1871"/>
      <c r="C36" s="1886"/>
      <c r="D36" s="163"/>
      <c r="E36" s="261"/>
      <c r="F36" s="163">
        <f t="shared" ca="1" si="38"/>
        <v>31</v>
      </c>
      <c r="G36" s="163" t="str" cm="1">
        <f t="array" aca="1" ref="G36" ca="1">INDEX('Enveloppe du bâtiment sout.'!C:C, $F35)</f>
        <v>Bitumenanstrich / Emulsion de bitume [m2]</v>
      </c>
      <c r="H36" s="163" t="str" cm="1">
        <f t="array" aca="1" ref="H36" ca="1">INDEX('Enveloppe du bâtiment sout.'!D:D, $F35)</f>
        <v>Émulsion de bitume, 1 couche</v>
      </c>
      <c r="I36" s="163" t="str" cm="1">
        <f t="array" aca="1" ref="I36" ca="1">INDEX('Enveloppe du bâtiment sout.'!G:G, $F35)</f>
        <v>14.003</v>
      </c>
      <c r="J36" s="163" t="str">
        <f ca="1">_xlfn.XLOOKUP($I36,'Baumaterialien Matériaux'!A:A,'Baumaterialien Matériaux'!G:G,0,0)</f>
        <v>m2</v>
      </c>
      <c r="K36" s="262">
        <f t="shared" ca="1" si="39"/>
        <v>256</v>
      </c>
      <c r="L36" s="163" cm="1">
        <f t="array" aca="1" ref="L36" ca="1">INDEX('Enveloppe du bâtiment sout.'!J:J, $F35)</f>
        <v>60</v>
      </c>
      <c r="M36" s="1522" cm="1">
        <f t="array" aca="1" ref="M36" ca="1">INDEX('Enveloppe du bâtiment sout.'!H:H, $F35)</f>
        <v>2</v>
      </c>
      <c r="N36" s="1627">
        <f>'Outil détaillé'!E$14</f>
        <v>0</v>
      </c>
      <c r="O36" s="1502" cm="1">
        <f t="array" aca="1" ref="O36" ca="1">IFERROR(INDEX('Enveloppe du bâtiment sout.'!M:M, $F35)*$K36/$M36,0)/$I$1*(1-0.8*N36)</f>
        <v>0.21440000000000001</v>
      </c>
      <c r="P36" s="1416">
        <f t="shared" ca="1" si="34"/>
        <v>0</v>
      </c>
      <c r="Q36" s="1416">
        <f t="shared" ca="1" si="34"/>
        <v>0</v>
      </c>
      <c r="R36" s="256" cm="1">
        <f t="array" aca="1" ref="R36" ca="1">_xlfn.SWITCH(L36,R$3,O36+S36,P$3,P36,0)</f>
        <v>0</v>
      </c>
      <c r="S36" s="1410" cm="1">
        <f t="array" aca="1" ref="S36" ca="1">IFERROR(INDEX('Enveloppe du bâtiment sout.'!N:N, $F35)*$K36/$M36,0)/$I$1*(1-0.8*N36)</f>
        <v>7.4880000000000002E-2</v>
      </c>
      <c r="T36" s="1411">
        <f t="shared" ca="1" si="35"/>
        <v>0.28927999999999998</v>
      </c>
      <c r="U36" s="1530" cm="1">
        <f t="array" aca="1" ref="U36" ca="1">IFERROR(INDEX('Enveloppe du bâtiment sout.'!O:O, $F35)*$K36/$M36,0)/$I$1*(1-0.8*N36)</f>
        <v>0</v>
      </c>
      <c r="V36" s="1502" cm="1">
        <f t="array" aca="1" ref="V36" ca="1">IFERROR(INDEX('Enveloppe du bâtiment sout.'!K:K, $F35)*$K36/$M36,0)/$I$1*(1-0.8*N36)</f>
        <v>2.944</v>
      </c>
      <c r="W36" s="1416">
        <f t="shared" ca="1" si="36"/>
        <v>0</v>
      </c>
      <c r="X36" s="1416">
        <f t="shared" ca="1" si="36"/>
        <v>0</v>
      </c>
      <c r="Y36" s="256" cm="1">
        <f t="array" aca="1" ref="Y36" ca="1">_xlfn.SWITCH(T36,Y$3,V36+Z36,W$3,W36,0)</f>
        <v>0</v>
      </c>
      <c r="Z36" s="1410" cm="1">
        <f t="array" aca="1" ref="Z36" ca="1">IFERROR(INDEX('Enveloppe du bâtiment sout.'!L:L, $F35)*$K36/$M36,0)/$I$1*(1-0.8*N36)</f>
        <v>2.24E-2</v>
      </c>
      <c r="AA36" s="1460">
        <f t="shared" ca="1" si="37"/>
        <v>2.9664000000000001</v>
      </c>
      <c r="AB36" s="1460"/>
    </row>
    <row r="37" spans="2:28" ht="15.75" customHeight="1" outlineLevel="1">
      <c r="B37" s="1871"/>
      <c r="C37" s="1886"/>
      <c r="D37" s="163"/>
      <c r="E37" s="261"/>
      <c r="F37" s="163">
        <f t="shared" ca="1" si="38"/>
        <v>32</v>
      </c>
      <c r="G37" s="163" t="str" cm="1">
        <f t="array" aca="1" ref="G37" ca="1">INDEX('Enveloppe du bâtiment sout.'!C:C, $F36)</f>
        <v>Noppenfolie / Feuille PE [kg]</v>
      </c>
      <c r="H37" s="163" t="str" cm="1">
        <f t="array" aca="1" ref="H37" ca="1">INDEX('Enveloppe du bâtiment sout.'!D:D, $F36)</f>
        <v>Polyéthylène (HDPE)</v>
      </c>
      <c r="I37" s="163" t="str" cm="1">
        <f t="array" aca="1" ref="I37" ca="1">INDEX('Enveloppe du bâtiment sout.'!G:G, $F36)</f>
        <v>13.002</v>
      </c>
      <c r="J37" s="163" t="str">
        <f ca="1">_xlfn.XLOOKUP($I37,'Baumaterialien Matériaux'!A:A,'Baumaterialien Matériaux'!G:G,0,0)</f>
        <v>kg</v>
      </c>
      <c r="K37" s="262">
        <f t="shared" ca="1" si="39"/>
        <v>320</v>
      </c>
      <c r="L37" s="163" cm="1">
        <f t="array" aca="1" ref="L37" ca="1">INDEX('Enveloppe du bâtiment sout.'!J:J, $F36)</f>
        <v>60</v>
      </c>
      <c r="M37" s="1522" cm="1">
        <f t="array" aca="1" ref="M37" ca="1">INDEX('Enveloppe du bâtiment sout.'!H:H, $F36)</f>
        <v>2.5</v>
      </c>
      <c r="N37" s="1627">
        <f>'Outil détaillé'!E$14</f>
        <v>0</v>
      </c>
      <c r="O37" s="1502" cm="1">
        <f t="array" aca="1" ref="O37" ca="1">IFERROR(INDEX('Enveloppe du bâtiment sout.'!M:M, $F36)*$K37/$M37,0)/$I$1*(1-0.8*N37)</f>
        <v>4.76</v>
      </c>
      <c r="P37" s="1416">
        <f t="shared" ca="1" si="34"/>
        <v>0</v>
      </c>
      <c r="Q37" s="1416">
        <f t="shared" ca="1" si="34"/>
        <v>0</v>
      </c>
      <c r="R37" s="256" cm="1">
        <f t="array" aca="1" ref="R37" ca="1">_xlfn.SWITCH(L37,R$3,O37+S37,P$3,P37,0)</f>
        <v>0</v>
      </c>
      <c r="S37" s="1410" cm="1">
        <f t="array" aca="1" ref="S37" ca="1">IFERROR(INDEX('Enveloppe du bâtiment sout.'!N:N, $F36)*$K37/$M37,0)/$I$1*(1-0.8*N37)</f>
        <v>4.74</v>
      </c>
      <c r="T37" s="1411">
        <f t="shared" ca="1" si="35"/>
        <v>9.5</v>
      </c>
      <c r="U37" s="1530" cm="1">
        <f t="array" aca="1" ref="U37" ca="1">IFERROR(INDEX('Enveloppe du bâtiment sout.'!O:O, $F36)*$K37/$M37,0)/$I$1*(1-0.8*N37)</f>
        <v>0</v>
      </c>
      <c r="V37" s="1502" cm="1">
        <f t="array" aca="1" ref="V37" ca="1">IFERROR(INDEX('Enveloppe du bâtiment sout.'!K:K, $F36)*$K37/$M37,0)/$I$1*(1-0.8*N37)</f>
        <v>46</v>
      </c>
      <c r="W37" s="1416">
        <f t="shared" ca="1" si="36"/>
        <v>0</v>
      </c>
      <c r="X37" s="1416">
        <f t="shared" ca="1" si="36"/>
        <v>0</v>
      </c>
      <c r="Y37" s="256" cm="1">
        <f t="array" aca="1" ref="Y37" ca="1">_xlfn.SWITCH(T37,Y$3,V37+Z37,W$3,W37,0)</f>
        <v>0</v>
      </c>
      <c r="Z37" s="1410" cm="1">
        <f t="array" aca="1" ref="Z37" ca="1">IFERROR(INDEX('Enveloppe du bâtiment sout.'!L:L, $F36)*$K37/$M37,0)/$I$1*(1-0.8*N37)</f>
        <v>0.41799999999999998</v>
      </c>
      <c r="AA37" s="1460">
        <f t="shared" ca="1" si="37"/>
        <v>46.417999999999999</v>
      </c>
      <c r="AB37" s="1460"/>
    </row>
    <row r="38" spans="2:28" ht="15.75" customHeight="1" outlineLevel="1">
      <c r="B38" s="1871"/>
      <c r="C38" s="1886"/>
      <c r="D38" s="163"/>
      <c r="E38" s="261"/>
      <c r="F38" s="163">
        <f t="shared" ca="1" si="38"/>
        <v>2</v>
      </c>
      <c r="G38" s="163" cm="1">
        <f t="array" aca="1" ref="G38" ca="1">INDEX('Enveloppe du bâtiment sout.'!C:C, $F37)</f>
        <v>0</v>
      </c>
      <c r="H38" s="163" cm="1">
        <f t="array" aca="1" ref="H38" ca="1">INDEX('Enveloppe du bâtiment sout.'!D:D, $F37)</f>
        <v>0</v>
      </c>
      <c r="I38" s="163" cm="1">
        <f t="array" aca="1" ref="I38" ca="1">INDEX('Enveloppe du bâtiment sout.'!G:G, $F37)</f>
        <v>0</v>
      </c>
      <c r="J38" s="163">
        <f ca="1">_xlfn.XLOOKUP($I38,'Baumaterialien Matériaux'!A:A,'Baumaterialien Matériaux'!G:G,0,0)</f>
        <v>0</v>
      </c>
      <c r="K38" s="262">
        <f t="shared" ca="1" si="39"/>
        <v>0</v>
      </c>
      <c r="L38" s="163" cm="1">
        <f t="array" aca="1" ref="L38" ca="1">INDEX('Enveloppe du bâtiment sout.'!J:J, $F37)</f>
        <v>60</v>
      </c>
      <c r="M38" s="1522" cm="1">
        <f t="array" aca="1" ref="M38" ca="1">INDEX('Enveloppe du bâtiment sout.'!H:H, $F37)</f>
        <v>0</v>
      </c>
      <c r="N38" s="1627">
        <f>'Outil détaillé'!E$14</f>
        <v>0</v>
      </c>
      <c r="O38" s="1502" cm="1">
        <f t="array" aca="1" ref="O38" ca="1">IFERROR(INDEX('Enveloppe du bâtiment sout.'!M:M, $F37)*$K38/$M38,0)/$I$1*(1-0.8*N38)</f>
        <v>0</v>
      </c>
      <c r="P38" s="1416">
        <f t="shared" ca="1" si="34"/>
        <v>0</v>
      </c>
      <c r="Q38" s="1416">
        <f t="shared" ca="1" si="34"/>
        <v>0</v>
      </c>
      <c r="R38" s="256" cm="1">
        <f t="array" aca="1" ref="R38" ca="1">_xlfn.SWITCH(L38,R$3,O38+S38,P$3,P38,0)</f>
        <v>0</v>
      </c>
      <c r="S38" s="1410" cm="1">
        <f t="array" aca="1" ref="S38" ca="1">IFERROR(INDEX('Enveloppe du bâtiment sout.'!N:N, $F37)*$K38/$M38,0)/$I$1*(1-0.8*N38)</f>
        <v>0</v>
      </c>
      <c r="T38" s="1411">
        <f t="shared" ref="T38:T40" ca="1" si="40">SUM(O38:S38)</f>
        <v>0</v>
      </c>
      <c r="U38" s="1530" cm="1">
        <f t="array" aca="1" ref="U38" ca="1">IFERROR(INDEX('Enveloppe du bâtiment sout.'!O:O, $F37)*$K38/$M38,0)/$I$1*(1-0.8*N38)</f>
        <v>0</v>
      </c>
      <c r="V38" s="1502" cm="1">
        <f t="array" aca="1" ref="V38" ca="1">IFERROR(INDEX('Enveloppe du bâtiment sout.'!K:K, $F37)*$K38/$M38,0)/$I$1*(1-0.8*N38)</f>
        <v>0</v>
      </c>
      <c r="W38" s="1416">
        <f t="shared" ca="1" si="36"/>
        <v>0</v>
      </c>
      <c r="X38" s="1416">
        <f t="shared" ca="1" si="36"/>
        <v>0</v>
      </c>
      <c r="Y38" s="256" cm="1">
        <f t="array" aca="1" ref="Y38" ca="1">_xlfn.SWITCH(T38,Y$3,V38+Z38,W$3,W38,0)</f>
        <v>0</v>
      </c>
      <c r="Z38" s="1410" cm="1">
        <f t="array" aca="1" ref="Z38" ca="1">IFERROR(INDEX('Enveloppe du bâtiment sout.'!L:L, $F37)*$K38/$M38,0)/$I$1*(1-0.8*N38)</f>
        <v>0</v>
      </c>
      <c r="AA38" s="1460">
        <f t="shared" ref="AA38:AA40" ca="1" si="41">SUM(V38:Z38)</f>
        <v>0</v>
      </c>
      <c r="AB38" s="1460"/>
    </row>
    <row r="39" spans="2:28" ht="15.75" customHeight="1" outlineLevel="1">
      <c r="B39" s="1871"/>
      <c r="C39" s="1886"/>
      <c r="D39" s="163"/>
      <c r="E39" s="261"/>
      <c r="F39" s="163">
        <f t="shared" ca="1" si="38"/>
        <v>2</v>
      </c>
      <c r="G39" s="163" cm="1">
        <f t="array" aca="1" ref="G39" ca="1">INDEX('Enveloppe du bâtiment sout.'!C:C, $F38)</f>
        <v>0</v>
      </c>
      <c r="H39" s="163" cm="1">
        <f t="array" aca="1" ref="H39" ca="1">INDEX('Enveloppe du bâtiment sout.'!D:D, $F38)</f>
        <v>0</v>
      </c>
      <c r="I39" s="163" cm="1">
        <f t="array" aca="1" ref="I39" ca="1">INDEX('Enveloppe du bâtiment sout.'!G:G, $F38)</f>
        <v>0</v>
      </c>
      <c r="J39" s="163">
        <f ca="1">_xlfn.XLOOKUP($I39,'Baumaterialien Matériaux'!A:A,'Baumaterialien Matériaux'!G:G,0,0)</f>
        <v>0</v>
      </c>
      <c r="K39" s="262">
        <f t="shared" ca="1" si="39"/>
        <v>0</v>
      </c>
      <c r="L39" s="163" cm="1">
        <f t="array" aca="1" ref="L39" ca="1">INDEX('Enveloppe du bâtiment sout.'!J:J, $F38)</f>
        <v>0</v>
      </c>
      <c r="M39" s="1522" cm="1">
        <f t="array" aca="1" ref="M39" ca="1">INDEX('Enveloppe du bâtiment sout.'!H:H, $F38)</f>
        <v>0</v>
      </c>
      <c r="N39" s="1627">
        <f>'Outil détaillé'!E$14</f>
        <v>0</v>
      </c>
      <c r="O39" s="1502" cm="1">
        <f t="array" aca="1" ref="O39" ca="1">IFERROR(INDEX('Enveloppe du bâtiment sout.'!M:M, $F38)*$K39/$M39,0)/$I$1*(1-0.8*N39)</f>
        <v>0</v>
      </c>
      <c r="P39" s="1416">
        <f t="shared" ca="1" si="34"/>
        <v>0</v>
      </c>
      <c r="Q39" s="1416">
        <f t="shared" ca="1" si="34"/>
        <v>0</v>
      </c>
      <c r="R39" s="256" cm="1">
        <f t="array" aca="1" ref="R39" ca="1">_xlfn.SWITCH(L39,R$3,O39+S39,P$3,P39,0)</f>
        <v>0</v>
      </c>
      <c r="S39" s="1410" cm="1">
        <f t="array" aca="1" ref="S39" ca="1">IFERROR(INDEX('Enveloppe du bâtiment sout.'!N:N, $F38)*$K39/$M39,0)/$I$1*(1-0.8*N39)</f>
        <v>0</v>
      </c>
      <c r="T39" s="1411">
        <f t="shared" ca="1" si="40"/>
        <v>0</v>
      </c>
      <c r="U39" s="1530" cm="1">
        <f t="array" aca="1" ref="U39" ca="1">IFERROR(INDEX('Enveloppe du bâtiment sout.'!O:O, $F38)*$K39/$M39,0)/$I$1*(1-0.8*N39)</f>
        <v>0</v>
      </c>
      <c r="V39" s="1502" cm="1">
        <f t="array" aca="1" ref="V39" ca="1">IFERROR(INDEX('Enveloppe du bâtiment sout.'!K:K, $F38)*$K39/$M39,0)/$I$1*(1-0.8*N39)</f>
        <v>0</v>
      </c>
      <c r="W39" s="1416">
        <f t="shared" ca="1" si="36"/>
        <v>0</v>
      </c>
      <c r="X39" s="1416">
        <f t="shared" ca="1" si="36"/>
        <v>0</v>
      </c>
      <c r="Y39" s="256" cm="1">
        <f t="array" aca="1" ref="Y39" ca="1">_xlfn.SWITCH(T39,Y$3,V39+Z39,W$3,W39,0)</f>
        <v>0</v>
      </c>
      <c r="Z39" s="1410" cm="1">
        <f t="array" aca="1" ref="Z39" ca="1">IFERROR(INDEX('Enveloppe du bâtiment sout.'!L:L, $F38)*$K39/$M39,0)/$I$1*(1-0.8*N39)</f>
        <v>0</v>
      </c>
      <c r="AA39" s="1460">
        <f t="shared" ca="1" si="41"/>
        <v>0</v>
      </c>
      <c r="AB39" s="1460"/>
    </row>
    <row r="40" spans="2:28" ht="15.75" customHeight="1" outlineLevel="1">
      <c r="B40" s="1871"/>
      <c r="C40" s="1886"/>
      <c r="D40" s="163"/>
      <c r="E40" s="261"/>
      <c r="F40" s="163">
        <f t="shared" ca="1" si="38"/>
        <v>2</v>
      </c>
      <c r="G40" s="163" cm="1">
        <f t="array" aca="1" ref="G40" ca="1">INDEX('Enveloppe du bâtiment sout.'!C:C, $F39)</f>
        <v>0</v>
      </c>
      <c r="H40" s="163" cm="1">
        <f t="array" aca="1" ref="H40" ca="1">INDEX('Enveloppe du bâtiment sout.'!D:D, $F39)</f>
        <v>0</v>
      </c>
      <c r="I40" s="163" cm="1">
        <f t="array" aca="1" ref="I40" ca="1">INDEX('Enveloppe du bâtiment sout.'!G:G, $F39)</f>
        <v>0</v>
      </c>
      <c r="J40" s="163">
        <f ca="1">_xlfn.XLOOKUP($I40,'Baumaterialien Matériaux'!A:A,'Baumaterialien Matériaux'!G:G,0,0)</f>
        <v>0</v>
      </c>
      <c r="K40" s="262">
        <f t="shared" ca="1" si="39"/>
        <v>0</v>
      </c>
      <c r="L40" s="163" cm="1">
        <f t="array" aca="1" ref="L40" ca="1">INDEX('Enveloppe du bâtiment sout.'!J:J, $F39)</f>
        <v>0</v>
      </c>
      <c r="M40" s="1522" cm="1">
        <f t="array" aca="1" ref="M40" ca="1">INDEX('Enveloppe du bâtiment sout.'!H:H, $F39)</f>
        <v>0</v>
      </c>
      <c r="N40" s="1627">
        <f>'Outil détaillé'!E$14</f>
        <v>0</v>
      </c>
      <c r="O40" s="1502" cm="1">
        <f t="array" aca="1" ref="O40" ca="1">IFERROR(INDEX('Enveloppe du bâtiment sout.'!M:M, $F39)*$K40/$M40,0)/$I$1*(1-0.8*N40)</f>
        <v>0</v>
      </c>
      <c r="P40" s="1416">
        <f t="shared" ca="1" si="34"/>
        <v>0</v>
      </c>
      <c r="Q40" s="1416">
        <f t="shared" ca="1" si="34"/>
        <v>0</v>
      </c>
      <c r="R40" s="256" cm="1">
        <f t="array" aca="1" ref="R40" ca="1">_xlfn.SWITCH(L40,R$3,O40+S40,P$3,P40,0)</f>
        <v>0</v>
      </c>
      <c r="S40" s="1410" cm="1">
        <f t="array" aca="1" ref="S40" ca="1">IFERROR(INDEX('Enveloppe du bâtiment sout.'!N:N, $F39)*$K40/$M40,0)/$I$1*(1-0.8*N40)</f>
        <v>0</v>
      </c>
      <c r="T40" s="1411">
        <f t="shared" ca="1" si="40"/>
        <v>0</v>
      </c>
      <c r="U40" s="1530" cm="1">
        <f t="array" aca="1" ref="U40" ca="1">IFERROR(INDEX('Enveloppe du bâtiment sout.'!O:O, $F39)*$K40/$M40,0)/$I$1*(1-0.8*N40)</f>
        <v>0</v>
      </c>
      <c r="V40" s="1502" cm="1">
        <f t="array" aca="1" ref="V40" ca="1">IFERROR(INDEX('Enveloppe du bâtiment sout.'!K:K, $F39)*$K40/$M40,0)/$I$1*(1-0.8*N40)</f>
        <v>0</v>
      </c>
      <c r="W40" s="1416">
        <f t="shared" ca="1" si="36"/>
        <v>0</v>
      </c>
      <c r="X40" s="1416">
        <f t="shared" ca="1" si="36"/>
        <v>0</v>
      </c>
      <c r="Y40" s="256" cm="1">
        <f t="array" aca="1" ref="Y40" ca="1">_xlfn.SWITCH(T40,Y$3,V40+Z40,W$3,W40,0)</f>
        <v>0</v>
      </c>
      <c r="Z40" s="1410" cm="1">
        <f t="array" aca="1" ref="Z40" ca="1">IFERROR(INDEX('Enveloppe du bâtiment sout.'!L:L, $F39)*$K40/$M40,0)/$I$1*(1-0.8*N40)</f>
        <v>0</v>
      </c>
      <c r="AA40" s="1460">
        <f t="shared" ca="1" si="41"/>
        <v>0</v>
      </c>
      <c r="AB40" s="1460"/>
    </row>
    <row r="41" spans="2:28" ht="15.6" customHeight="1">
      <c r="B41" s="1871"/>
      <c r="C41" s="1873" t="s">
        <v>416</v>
      </c>
      <c r="D41" s="162" t="s">
        <v>417</v>
      </c>
      <c r="E41" s="162"/>
      <c r="F41" s="162">
        <f>MATCH(D41, 'Enveloppe du bâtiment sout.'!B:B,0)</f>
        <v>52</v>
      </c>
      <c r="G41" s="162"/>
      <c r="H41" s="162"/>
      <c r="I41" s="162"/>
      <c r="J41" s="162"/>
      <c r="K41" s="265"/>
      <c r="L41" s="264"/>
      <c r="M41" s="1523"/>
      <c r="N41" s="1628"/>
      <c r="O41" s="1503">
        <f t="shared" ref="O41" ca="1" si="42">O42</f>
        <v>0</v>
      </c>
      <c r="P41" s="1504">
        <f t="shared" ref="P41:AA41" ca="1" si="43">P42</f>
        <v>0</v>
      </c>
      <c r="Q41" s="1504">
        <f t="shared" ca="1" si="43"/>
        <v>0</v>
      </c>
      <c r="R41" s="1504">
        <f t="shared" ca="1" si="43"/>
        <v>0</v>
      </c>
      <c r="S41" s="1504">
        <f t="shared" ca="1" si="43"/>
        <v>0</v>
      </c>
      <c r="T41" s="1504">
        <f t="shared" ca="1" si="43"/>
        <v>0</v>
      </c>
      <c r="U41" s="1505">
        <f t="shared" ca="1" si="43"/>
        <v>0</v>
      </c>
      <c r="V41" s="1503">
        <f t="shared" ca="1" si="43"/>
        <v>0</v>
      </c>
      <c r="W41" s="1504">
        <f t="shared" ca="1" si="43"/>
        <v>0</v>
      </c>
      <c r="X41" s="1504">
        <f t="shared" ca="1" si="43"/>
        <v>0</v>
      </c>
      <c r="Y41" s="1504">
        <f t="shared" ca="1" si="43"/>
        <v>0</v>
      </c>
      <c r="Z41" s="1504">
        <f t="shared" ca="1" si="43"/>
        <v>0</v>
      </c>
      <c r="AA41" s="1505">
        <f t="shared" ca="1" si="43"/>
        <v>0</v>
      </c>
      <c r="AB41" s="1505"/>
    </row>
    <row r="42" spans="2:28" ht="15.75">
      <c r="B42" s="1871"/>
      <c r="C42" s="1874"/>
      <c r="D42" s="163" t="str">
        <f>'Outil détaillé'!D16</f>
        <v>Toiture souterraine</v>
      </c>
      <c r="E42" s="164" t="str">
        <f>'Outil détaillé'!F16</f>
        <v>non-isolés</v>
      </c>
      <c r="F42" s="800">
        <f ca="1">MATCH(E42, INDIRECT("'Enveloppe du bâtiment sout.'!A"&amp;F41+1&amp;":A500"),0)+F41</f>
        <v>53</v>
      </c>
      <c r="G42" s="164"/>
      <c r="H42" s="164"/>
      <c r="I42" s="164"/>
      <c r="J42" s="164" t="s">
        <v>87</v>
      </c>
      <c r="K42" s="270">
        <f>'Outil détaillé'!K16</f>
        <v>0</v>
      </c>
      <c r="L42" s="271"/>
      <c r="M42" s="1467"/>
      <c r="N42" s="1623"/>
      <c r="O42" s="1488">
        <f t="shared" ref="O42" ca="1" si="44">SUM(O43:O52)</f>
        <v>0</v>
      </c>
      <c r="P42" s="1489">
        <f t="shared" ref="P42:U42" ca="1" si="45">SUM(P43:P52)</f>
        <v>0</v>
      </c>
      <c r="Q42" s="1489">
        <f t="shared" ca="1" si="45"/>
        <v>0</v>
      </c>
      <c r="R42" s="1489">
        <f t="shared" ca="1" si="45"/>
        <v>0</v>
      </c>
      <c r="S42" s="1489">
        <f t="shared" ca="1" si="45"/>
        <v>0</v>
      </c>
      <c r="T42" s="1489">
        <f t="shared" ca="1" si="45"/>
        <v>0</v>
      </c>
      <c r="U42" s="1490">
        <f t="shared" ca="1" si="45"/>
        <v>0</v>
      </c>
      <c r="V42" s="1488">
        <f t="shared" ref="V42" ca="1" si="46">SUM(V43:V52)</f>
        <v>0</v>
      </c>
      <c r="W42" s="1489">
        <f t="shared" ref="W42:Z42" ca="1" si="47">SUM(W43:W52)</f>
        <v>0</v>
      </c>
      <c r="X42" s="1489">
        <f t="shared" ca="1" si="47"/>
        <v>0</v>
      </c>
      <c r="Y42" s="1489">
        <f t="shared" ca="1" si="47"/>
        <v>0</v>
      </c>
      <c r="Z42" s="1489">
        <f t="shared" ca="1" si="47"/>
        <v>0</v>
      </c>
      <c r="AA42" s="1490">
        <f t="shared" ref="AA42" ca="1" si="48">SUM(AA43:AA52)</f>
        <v>0</v>
      </c>
      <c r="AB42" s="1490"/>
    </row>
    <row r="43" spans="2:28" ht="15.75" customHeight="1" outlineLevel="1">
      <c r="B43" s="1871"/>
      <c r="C43" s="1874"/>
      <c r="D43" s="163"/>
      <c r="E43" s="261"/>
      <c r="F43" s="163">
        <f ca="1">IF(I43=0,2,F42+1)</f>
        <v>54</v>
      </c>
      <c r="G43" s="163" t="str" cm="1">
        <f t="array" aca="1" ref="G43" ca="1">INDEX('Enveloppe du bâtiment sout.'!C:C, $F42)</f>
        <v>Hochbaubeton / béton pour bâtiment, 30 cm [kg], 2'300 [kg/m3]</v>
      </c>
      <c r="H43" s="163" t="str" cm="1">
        <f t="array" aca="1" ref="H43" ca="1">INDEX('Enveloppe du bâtiment sout.'!D:D, $F42)</f>
        <v>Béton pour bâtiment (sans armature)</v>
      </c>
      <c r="I43" s="163" t="str" cm="1">
        <f t="array" aca="1" ref="I43" ca="1">INDEX('Enveloppe du bâtiment sout.'!G:G, $F42)</f>
        <v>01.002</v>
      </c>
      <c r="J43" s="163" t="str">
        <f ca="1">_xlfn.XLOOKUP($I43,'Baumaterialien Matériaux'!A:A,'Baumaterialien Matériaux'!G:G,0,0)</f>
        <v>kg</v>
      </c>
      <c r="K43" s="262">
        <f ca="1">M43*K$42</f>
        <v>0</v>
      </c>
      <c r="L43" s="163" cm="1">
        <f t="array" aca="1" ref="L43" ca="1">INDEX('Enveloppe du bâtiment sout.'!J:J, $F42)</f>
        <v>60</v>
      </c>
      <c r="M43" s="1522" cm="1">
        <f t="array" aca="1" ref="M43" ca="1">INDEX('Enveloppe du bâtiment sout.'!H:H, $F42)</f>
        <v>680.11146496815275</v>
      </c>
      <c r="N43" s="1627">
        <f>'Outil détaillé'!E$16</f>
        <v>0</v>
      </c>
      <c r="O43" s="1502" cm="1">
        <f t="array" aca="1" ref="O43" ca="1">IFERROR(INDEX('Enveloppe du bâtiment sout.'!M:M, $F42)*$K43/$M43,0)/$I$1*(1-0.8*N43)</f>
        <v>0</v>
      </c>
      <c r="P43" s="1416">
        <f t="shared" ref="P43:Q52" ca="1" si="49">IF($L43=P$3,$O43+$S43,0)</f>
        <v>0</v>
      </c>
      <c r="Q43" s="1416">
        <f t="shared" ca="1" si="49"/>
        <v>0</v>
      </c>
      <c r="R43" s="256" cm="1">
        <f t="array" aca="1" ref="R43" ca="1">_xlfn.SWITCH(L43,R$3,O43+S43,P$3,P43,0)</f>
        <v>0</v>
      </c>
      <c r="S43" s="1410" cm="1">
        <f t="array" aca="1" ref="S43" ca="1">IFERROR(INDEX('Enveloppe du bâtiment sout.'!N:N, $F42)*$K43/$M43,0)/$I$1*(1-0.8*N43)</f>
        <v>0</v>
      </c>
      <c r="T43" s="1411">
        <f t="shared" ref="T43" ca="1" si="50">SUM(O43:S43)</f>
        <v>0</v>
      </c>
      <c r="U43" s="1530" cm="1">
        <f t="array" aca="1" ref="U43" ca="1">IFERROR(INDEX('Enveloppe du bâtiment sout.'!O:O, $F42)*$K43/$M43,0)/$I$1*(1-0.8*N43)</f>
        <v>0</v>
      </c>
      <c r="V43" s="1502" cm="1">
        <f t="array" aca="1" ref="V43" ca="1">IFERROR(INDEX('Enveloppe du bâtiment sout.'!K:K, $F42)*$K43/$M43,0)/$I$1*(1-0.8*N43)</f>
        <v>0</v>
      </c>
      <c r="W43" s="1416">
        <f t="shared" ref="W43:X52" ca="1" si="51">IF($L43=W$3,$V43+$Z43,0)</f>
        <v>0</v>
      </c>
      <c r="X43" s="1416">
        <f t="shared" ca="1" si="51"/>
        <v>0</v>
      </c>
      <c r="Y43" s="256" cm="1">
        <f t="array" aca="1" ref="Y43" ca="1">_xlfn.SWITCH(T43,Y$3,V43+Z43,W$3,W43,0)</f>
        <v>0</v>
      </c>
      <c r="Z43" s="1410" cm="1">
        <f t="array" aca="1" ref="Z43" ca="1">IFERROR(INDEX('Enveloppe du bâtiment sout.'!L:L, $F42)*$K43/$M43,0)/$I$1*(1-0.8*N43)</f>
        <v>0</v>
      </c>
      <c r="AA43" s="1460">
        <f t="shared" ref="AA43" ca="1" si="52">SUM(V43:Z43)</f>
        <v>0</v>
      </c>
      <c r="AB43" s="1460"/>
    </row>
    <row r="44" spans="2:28" ht="15.75" customHeight="1" outlineLevel="1">
      <c r="B44" s="1871"/>
      <c r="C44" s="1874"/>
      <c r="D44" s="163"/>
      <c r="E44" s="261"/>
      <c r="F44" s="163">
        <f t="shared" ref="F44:F51" ca="1" si="53">IF(I44=0,2,F43+1)</f>
        <v>55</v>
      </c>
      <c r="G44" s="163" t="str" cm="1">
        <f t="array" aca="1" ref="G44" ca="1">INDEX('Enveloppe du bâtiment sout.'!C:C, $F43)</f>
        <v>Armierungsstahl / Acier d'armature [kg], 7'850 [kg/m3]</v>
      </c>
      <c r="H44" s="163" t="str" cm="1">
        <f t="array" aca="1" ref="H44" ca="1">INDEX('Enveloppe du bâtiment sout.'!D:D, $F43)</f>
        <v>Acier d'armature</v>
      </c>
      <c r="I44" s="163" t="str" cm="1">
        <f t="array" aca="1" ref="I44" ca="1">INDEX('Enveloppe du bâtiment sout.'!G:G, $F43)</f>
        <v>06.003</v>
      </c>
      <c r="J44" s="163" t="str">
        <f ca="1">_xlfn.XLOOKUP($I44,'Baumaterialien Matériaux'!A:A,'Baumaterialien Matériaux'!G:G,0,0)</f>
        <v>kg</v>
      </c>
      <c r="K44" s="262">
        <f t="shared" ref="K44:K52" ca="1" si="54">M44*K$42</f>
        <v>0</v>
      </c>
      <c r="L44" s="163" cm="1">
        <f t="array" aca="1" ref="L44" ca="1">INDEX('Enveloppe du bâtiment sout.'!J:J, $F43)</f>
        <v>60</v>
      </c>
      <c r="M44" s="1522" cm="1">
        <f t="array" aca="1" ref="M44" ca="1">INDEX('Enveloppe du bâtiment sout.'!H:H, $F43)</f>
        <v>33.75</v>
      </c>
      <c r="N44" s="1627">
        <f>'Outil détaillé'!E$16</f>
        <v>0</v>
      </c>
      <c r="O44" s="1502" cm="1">
        <f t="array" aca="1" ref="O44" ca="1">IFERROR(INDEX('Enveloppe du bâtiment sout.'!M:M, $F43)*$K44/$M44,0)/$I$1*(1-0.8*N44)</f>
        <v>0</v>
      </c>
      <c r="P44" s="1416">
        <f t="shared" ca="1" si="49"/>
        <v>0</v>
      </c>
      <c r="Q44" s="1416">
        <f t="shared" ca="1" si="49"/>
        <v>0</v>
      </c>
      <c r="R44" s="256" cm="1">
        <f t="array" aca="1" ref="R44" ca="1">_xlfn.SWITCH(L44,R$3,O44+S44,P$3,P44,0)</f>
        <v>0</v>
      </c>
      <c r="S44" s="1410" cm="1">
        <f t="array" aca="1" ref="S44" ca="1">IFERROR(INDEX('Enveloppe du bâtiment sout.'!N:N, $F43)*$K44/$M44,0)/$I$1*(1-0.8*N44)</f>
        <v>0</v>
      </c>
      <c r="T44" s="1411">
        <f t="shared" ref="T44:T52" ca="1" si="55">SUM(O44:S44)</f>
        <v>0</v>
      </c>
      <c r="U44" s="1530" cm="1">
        <f t="array" aca="1" ref="U44" ca="1">IFERROR(INDEX('Enveloppe du bâtiment sout.'!O:O, $F43)*$K44/$M44,0)/$I$1*(1-0.8*N44)</f>
        <v>0</v>
      </c>
      <c r="V44" s="1502" cm="1">
        <f t="array" aca="1" ref="V44" ca="1">IFERROR(INDEX('Enveloppe du bâtiment sout.'!K:K, $F43)*$K44/$M44,0)/$I$1*(1-0.8*N44)</f>
        <v>0</v>
      </c>
      <c r="W44" s="1416">
        <f t="shared" ca="1" si="51"/>
        <v>0</v>
      </c>
      <c r="X44" s="1416">
        <f t="shared" ca="1" si="51"/>
        <v>0</v>
      </c>
      <c r="Y44" s="256" cm="1">
        <f t="array" aca="1" ref="Y44" ca="1">_xlfn.SWITCH(T44,Y$3,V44+Z44,W$3,W44,0)</f>
        <v>0</v>
      </c>
      <c r="Z44" s="1410" cm="1">
        <f t="array" aca="1" ref="Z44" ca="1">IFERROR(INDEX('Enveloppe du bâtiment sout.'!L:L, $F43)*$K44/$M44,0)/$I$1*(1-0.8*N44)</f>
        <v>0</v>
      </c>
      <c r="AA44" s="1460">
        <f t="shared" ref="AA44:AA52" ca="1" si="56">SUM(V44:Z44)</f>
        <v>0</v>
      </c>
      <c r="AB44" s="1460"/>
    </row>
    <row r="45" spans="2:28" ht="15.75" customHeight="1" outlineLevel="1">
      <c r="B45" s="1871"/>
      <c r="C45" s="1874"/>
      <c r="D45" s="163"/>
      <c r="E45" s="261"/>
      <c r="F45" s="163">
        <f t="shared" ca="1" si="53"/>
        <v>56</v>
      </c>
      <c r="G45" s="163" t="str" cm="1">
        <f t="array" aca="1" ref="G45" ca="1">INDEX('Enveloppe du bâtiment sout.'!C:C, $F44)</f>
        <v>3-SP Schalung/Coffrage 2.5cm (Annahme/Hyp. 5xverwendet/utilisé) [kg]</v>
      </c>
      <c r="H45" s="163" t="str" cm="1">
        <f t="array" aca="1" ref="H45" ca="1">INDEX('Enveloppe du bâtiment sout.'!D:D, $F44)</f>
        <v>Bois massif 3 et 5 plis</v>
      </c>
      <c r="I45" s="163" t="str" cm="1">
        <f t="array" aca="1" ref="I45" ca="1">INDEX('Enveloppe du bâtiment sout.'!G:G, $F44)</f>
        <v>07.001</v>
      </c>
      <c r="J45" s="163" t="str">
        <f ca="1">_xlfn.XLOOKUP($I45,'Baumaterialien Matériaux'!A:A,'Baumaterialien Matériaux'!G:G,0,0)</f>
        <v>kg</v>
      </c>
      <c r="K45" s="262">
        <f t="shared" ca="1" si="54"/>
        <v>0</v>
      </c>
      <c r="L45" s="163" cm="1">
        <f t="array" aca="1" ref="L45" ca="1">INDEX('Enveloppe du bâtiment sout.'!J:J, $F44)</f>
        <v>60</v>
      </c>
      <c r="M45" s="1522" cm="1">
        <f t="array" aca="1" ref="M45" ca="1">INDEX('Enveloppe du bâtiment sout.'!H:H, $F44)</f>
        <v>4.7000000000000011</v>
      </c>
      <c r="N45" s="1627">
        <f>'Outil détaillé'!E$16</f>
        <v>0</v>
      </c>
      <c r="O45" s="1502" cm="1">
        <f t="array" aca="1" ref="O45" ca="1">IFERROR(INDEX('Enveloppe du bâtiment sout.'!M:M, $F44)*$K45/$M45,0)/$I$1*(1-0.8*N45)</f>
        <v>0</v>
      </c>
      <c r="P45" s="1416">
        <f t="shared" ca="1" si="49"/>
        <v>0</v>
      </c>
      <c r="Q45" s="1416">
        <f t="shared" ca="1" si="49"/>
        <v>0</v>
      </c>
      <c r="R45" s="256" cm="1">
        <f t="array" aca="1" ref="R45" ca="1">_xlfn.SWITCH(L45,R$3,O45+S45,P$3,P45,0)</f>
        <v>0</v>
      </c>
      <c r="S45" s="1410" cm="1">
        <f t="array" aca="1" ref="S45" ca="1">IFERROR(INDEX('Enveloppe du bâtiment sout.'!N:N, $F44)*$K45/$M45,0)/$I$1*(1-0.8*N45)</f>
        <v>0</v>
      </c>
      <c r="T45" s="1411">
        <f t="shared" ca="1" si="55"/>
        <v>0</v>
      </c>
      <c r="U45" s="1530" cm="1">
        <f t="array" aca="1" ref="U45" ca="1">IFERROR(INDEX('Enveloppe du bâtiment sout.'!O:O, $F44)*$K45/$M45,0)/$I$1*(1-0.8*N45)</f>
        <v>0</v>
      </c>
      <c r="V45" s="1502" cm="1">
        <f t="array" aca="1" ref="V45" ca="1">IFERROR(INDEX('Enveloppe du bâtiment sout.'!K:K, $F44)*$K45/$M45,0)/$I$1*(1-0.8*N45)</f>
        <v>0</v>
      </c>
      <c r="W45" s="1416">
        <f t="shared" ca="1" si="51"/>
        <v>0</v>
      </c>
      <c r="X45" s="1416">
        <f t="shared" ca="1" si="51"/>
        <v>0</v>
      </c>
      <c r="Y45" s="256" cm="1">
        <f t="array" aca="1" ref="Y45" ca="1">_xlfn.SWITCH(T45,Y$3,V45+Z45,W$3,W45,0)</f>
        <v>0</v>
      </c>
      <c r="Z45" s="1410" cm="1">
        <f t="array" aca="1" ref="Z45" ca="1">IFERROR(INDEX('Enveloppe du bâtiment sout.'!L:L, $F44)*$K45/$M45,0)/$I$1*(1-0.8*N45)</f>
        <v>0</v>
      </c>
      <c r="AA45" s="1460">
        <f t="shared" ca="1" si="56"/>
        <v>0</v>
      </c>
      <c r="AB45" s="1460"/>
    </row>
    <row r="46" spans="2:28" ht="15.75" customHeight="1" outlineLevel="1">
      <c r="B46" s="1871"/>
      <c r="C46" s="1874"/>
      <c r="D46" s="163"/>
      <c r="E46" s="261"/>
      <c r="F46" s="163">
        <f t="shared" ca="1" si="53"/>
        <v>57</v>
      </c>
      <c r="G46" s="163" t="str" cm="1">
        <f t="array" aca="1" ref="G46" ca="1">INDEX('Enveloppe du bâtiment sout.'!C:C, $F45)</f>
        <v>Bitumenemulsion / Emulsion de bitume [m2]</v>
      </c>
      <c r="H46" s="163" t="str" cm="1">
        <f t="array" aca="1" ref="H46" ca="1">INDEX('Enveloppe du bâtiment sout.'!D:D, $F45)</f>
        <v>Émulsion de bitume, 1 couche</v>
      </c>
      <c r="I46" s="163" t="str" cm="1">
        <f t="array" aca="1" ref="I46" ca="1">INDEX('Enveloppe du bâtiment sout.'!G:G, $F45)</f>
        <v>14.003</v>
      </c>
      <c r="J46" s="163" t="str">
        <f ca="1">_xlfn.XLOOKUP($I46,'Baumaterialien Matériaux'!A:A,'Baumaterialien Matériaux'!G:G,0,0)</f>
        <v>m2</v>
      </c>
      <c r="K46" s="262">
        <f t="shared" ca="1" si="54"/>
        <v>0</v>
      </c>
      <c r="L46" s="163" cm="1">
        <f t="array" aca="1" ref="L46" ca="1">INDEX('Enveloppe du bâtiment sout.'!J:J, $F45)</f>
        <v>60</v>
      </c>
      <c r="M46" s="1522" cm="1">
        <f t="array" aca="1" ref="M46" ca="1">INDEX('Enveloppe du bâtiment sout.'!H:H, $F45)</f>
        <v>1</v>
      </c>
      <c r="N46" s="1627">
        <f>'Outil détaillé'!E$16</f>
        <v>0</v>
      </c>
      <c r="O46" s="1502" cm="1">
        <f t="array" aca="1" ref="O46" ca="1">IFERROR(INDEX('Enveloppe du bâtiment sout.'!M:M, $F45)*$K46/$M46,0)/$I$1*(1-0.8*N46)</f>
        <v>0</v>
      </c>
      <c r="P46" s="1416">
        <f t="shared" ca="1" si="49"/>
        <v>0</v>
      </c>
      <c r="Q46" s="1416">
        <f t="shared" ca="1" si="49"/>
        <v>0</v>
      </c>
      <c r="R46" s="256" cm="1">
        <f t="array" aca="1" ref="R46" ca="1">_xlfn.SWITCH(L46,R$3,O46+S46,P$3,P46,0)</f>
        <v>0</v>
      </c>
      <c r="S46" s="1410" cm="1">
        <f t="array" aca="1" ref="S46" ca="1">IFERROR(INDEX('Enveloppe du bâtiment sout.'!N:N, $F45)*$K46/$M46,0)/$I$1*(1-0.8*N46)</f>
        <v>0</v>
      </c>
      <c r="T46" s="1411">
        <f t="shared" ca="1" si="55"/>
        <v>0</v>
      </c>
      <c r="U46" s="1530" cm="1">
        <f t="array" aca="1" ref="U46" ca="1">IFERROR(INDEX('Enveloppe du bâtiment sout.'!O:O, $F45)*$K46/$M46,0)/$I$1*(1-0.8*N46)</f>
        <v>0</v>
      </c>
      <c r="V46" s="1502" cm="1">
        <f t="array" aca="1" ref="V46" ca="1">IFERROR(INDEX('Enveloppe du bâtiment sout.'!K:K, $F45)*$K46/$M46,0)/$I$1*(1-0.8*N46)</f>
        <v>0</v>
      </c>
      <c r="W46" s="1416">
        <f t="shared" ca="1" si="51"/>
        <v>0</v>
      </c>
      <c r="X46" s="1416">
        <f t="shared" ca="1" si="51"/>
        <v>0</v>
      </c>
      <c r="Y46" s="256" cm="1">
        <f t="array" aca="1" ref="Y46" ca="1">_xlfn.SWITCH(T46,Y$3,V46+Z46,W$3,W46,0)</f>
        <v>0</v>
      </c>
      <c r="Z46" s="1410" cm="1">
        <f t="array" aca="1" ref="Z46" ca="1">IFERROR(INDEX('Enveloppe du bâtiment sout.'!L:L, $F45)*$K46/$M46,0)/$I$1*(1-0.8*N46)</f>
        <v>0</v>
      </c>
      <c r="AA46" s="1460">
        <f t="shared" ca="1" si="56"/>
        <v>0</v>
      </c>
      <c r="AB46" s="1460"/>
    </row>
    <row r="47" spans="2:28" ht="15.75" customHeight="1" outlineLevel="1">
      <c r="B47" s="1871"/>
      <c r="C47" s="1874"/>
      <c r="D47" s="163"/>
      <c r="E47" s="261"/>
      <c r="F47" s="163">
        <f t="shared" ca="1" si="53"/>
        <v>58</v>
      </c>
      <c r="G47" s="163" t="str" cm="1">
        <f t="array" aca="1" ref="G47" ca="1">INDEX('Enveloppe du bâtiment sout.'!C:C, $F46)</f>
        <v>Polymerbitumenbahn EP5 [kg]</v>
      </c>
      <c r="H47" s="163" t="str" cm="1">
        <f t="array" aca="1" ref="H47" ca="1">INDEX('Enveloppe du bâtiment sout.'!D:D, $F46)</f>
        <v>Lé d'étanchéité bitumineux, swissporBIKUTOP</v>
      </c>
      <c r="I47" s="163" t="str" cm="1">
        <f t="array" aca="1" ref="I47" ca="1">INDEX('Enveloppe du bâtiment sout.'!G:G, $F46)</f>
        <v>09.003.07</v>
      </c>
      <c r="J47" s="163" t="str">
        <f ca="1">_xlfn.XLOOKUP($I47,'Baumaterialien Matériaux'!A:A,'Baumaterialien Matériaux'!G:G,0,0)</f>
        <v>kg</v>
      </c>
      <c r="K47" s="262">
        <f t="shared" ca="1" si="54"/>
        <v>0</v>
      </c>
      <c r="L47" s="163" cm="1">
        <f t="array" aca="1" ref="L47" ca="1">INDEX('Enveloppe du bâtiment sout.'!J:J, $F46)</f>
        <v>60</v>
      </c>
      <c r="M47" s="1522" cm="1">
        <f t="array" aca="1" ref="M47" ca="1">INDEX('Enveloppe du bâtiment sout.'!H:H, $F46)</f>
        <v>5.9</v>
      </c>
      <c r="N47" s="1627">
        <f>'Outil détaillé'!E$16</f>
        <v>0</v>
      </c>
      <c r="O47" s="1502" cm="1">
        <f t="array" aca="1" ref="O47" ca="1">IFERROR(INDEX('Enveloppe du bâtiment sout.'!M:M, $F46)*$K47/$M47,0)/$I$1*(1-0.8*N47)</f>
        <v>0</v>
      </c>
      <c r="P47" s="1416">
        <f t="shared" ca="1" si="49"/>
        <v>0</v>
      </c>
      <c r="Q47" s="1416">
        <f t="shared" ca="1" si="49"/>
        <v>0</v>
      </c>
      <c r="R47" s="256" cm="1">
        <f t="array" aca="1" ref="R47" ca="1">_xlfn.SWITCH(L47,R$3,O47+S47,P$3,P47,0)</f>
        <v>0</v>
      </c>
      <c r="S47" s="1410" cm="1">
        <f t="array" aca="1" ref="S47" ca="1">IFERROR(INDEX('Enveloppe du bâtiment sout.'!N:N, $F46)*$K47/$M47,0)/$I$1*(1-0.8*N47)</f>
        <v>0</v>
      </c>
      <c r="T47" s="1411">
        <f t="shared" ca="1" si="55"/>
        <v>0</v>
      </c>
      <c r="U47" s="1530" cm="1">
        <f t="array" aca="1" ref="U47" ca="1">IFERROR(INDEX('Enveloppe du bâtiment sout.'!O:O, $F46)*$K47/$M47,0)/$I$1*(1-0.8*N47)</f>
        <v>0</v>
      </c>
      <c r="V47" s="1502" cm="1">
        <f t="array" aca="1" ref="V47" ca="1">IFERROR(INDEX('Enveloppe du bâtiment sout.'!K:K, $F46)*$K47/$M47,0)/$I$1*(1-0.8*N47)</f>
        <v>0</v>
      </c>
      <c r="W47" s="1416">
        <f t="shared" ca="1" si="51"/>
        <v>0</v>
      </c>
      <c r="X47" s="1416">
        <f t="shared" ca="1" si="51"/>
        <v>0</v>
      </c>
      <c r="Y47" s="256" cm="1">
        <f t="array" aca="1" ref="Y47" ca="1">_xlfn.SWITCH(T47,Y$3,V47+Z47,W$3,W47,0)</f>
        <v>0</v>
      </c>
      <c r="Z47" s="1410" cm="1">
        <f t="array" aca="1" ref="Z47" ca="1">IFERROR(INDEX('Enveloppe du bâtiment sout.'!L:L, $F46)*$K47/$M47,0)/$I$1*(1-0.8*N47)</f>
        <v>0</v>
      </c>
      <c r="AA47" s="1460">
        <f t="shared" ca="1" si="56"/>
        <v>0</v>
      </c>
      <c r="AB47" s="1460"/>
    </row>
    <row r="48" spans="2:28" ht="15.75" customHeight="1" outlineLevel="1">
      <c r="B48" s="1871"/>
      <c r="C48" s="1874"/>
      <c r="D48" s="163"/>
      <c r="E48" s="261"/>
      <c r="F48" s="163">
        <f t="shared" ca="1" si="53"/>
        <v>59</v>
      </c>
      <c r="G48" s="163" t="str" cm="1">
        <f t="array" aca="1" ref="G48" ca="1">INDEX('Enveloppe du bâtiment sout.'!C:C, $F47)</f>
        <v>Trenn-/Schutzvlies [kg]</v>
      </c>
      <c r="H48" s="163" t="str" cm="1">
        <f t="array" aca="1" ref="H48" ca="1">INDEX('Enveloppe du bâtiment sout.'!D:D, $F47)</f>
        <v>Voile de polyéthylène (PE)</v>
      </c>
      <c r="I48" s="163" t="str" cm="1">
        <f t="array" aca="1" ref="I48" ca="1">INDEX('Enveloppe du bâtiment sout.'!G:G, $F47)</f>
        <v>09.008</v>
      </c>
      <c r="J48" s="163" t="str">
        <f ca="1">_xlfn.XLOOKUP($I48,'Baumaterialien Matériaux'!A:A,'Baumaterialien Matériaux'!G:G,0,0)</f>
        <v>kg</v>
      </c>
      <c r="K48" s="262">
        <f t="shared" ca="1" si="54"/>
        <v>0</v>
      </c>
      <c r="L48" s="163" cm="1">
        <f t="array" aca="1" ref="L48" ca="1">INDEX('Enveloppe du bâtiment sout.'!J:J, $F47)</f>
        <v>60</v>
      </c>
      <c r="M48" s="1522" cm="1">
        <f t="array" aca="1" ref="M48" ca="1">INDEX('Enveloppe du bâtiment sout.'!H:H, $F47)</f>
        <v>0.4</v>
      </c>
      <c r="N48" s="1627">
        <f>'Outil détaillé'!E$16</f>
        <v>0</v>
      </c>
      <c r="O48" s="1502" cm="1">
        <f t="array" aca="1" ref="O48" ca="1">IFERROR(INDEX('Enveloppe du bâtiment sout.'!M:M, $F47)*$K48/$M48,0)/$I$1*(1-0.8*N48)</f>
        <v>0</v>
      </c>
      <c r="P48" s="1416">
        <f t="shared" ca="1" si="49"/>
        <v>0</v>
      </c>
      <c r="Q48" s="1416">
        <f t="shared" ca="1" si="49"/>
        <v>0</v>
      </c>
      <c r="R48" s="256" cm="1">
        <f t="array" aca="1" ref="R48" ca="1">_xlfn.SWITCH(L48,R$3,O48+S48,P$3,P48,0)</f>
        <v>0</v>
      </c>
      <c r="S48" s="1410" cm="1">
        <f t="array" aca="1" ref="S48" ca="1">IFERROR(INDEX('Enveloppe du bâtiment sout.'!N:N, $F47)*$K48/$M48,0)/$I$1*(1-0.8*N48)</f>
        <v>0</v>
      </c>
      <c r="T48" s="1411">
        <f t="shared" ca="1" si="55"/>
        <v>0</v>
      </c>
      <c r="U48" s="1530" cm="1">
        <f t="array" aca="1" ref="U48" ca="1">IFERROR(INDEX('Enveloppe du bâtiment sout.'!O:O, $F47)*$K48/$M48,0)/$I$1*(1-0.8*N48)</f>
        <v>0</v>
      </c>
      <c r="V48" s="1502" cm="1">
        <f t="array" aca="1" ref="V48" ca="1">IFERROR(INDEX('Enveloppe du bâtiment sout.'!K:K, $F47)*$K48/$M48,0)/$I$1*(1-0.8*N48)</f>
        <v>0</v>
      </c>
      <c r="W48" s="1416">
        <f t="shared" ca="1" si="51"/>
        <v>0</v>
      </c>
      <c r="X48" s="1416">
        <f t="shared" ca="1" si="51"/>
        <v>0</v>
      </c>
      <c r="Y48" s="256" cm="1">
        <f t="array" aca="1" ref="Y48" ca="1">_xlfn.SWITCH(T48,Y$3,V48+Z48,W$3,W48,0)</f>
        <v>0</v>
      </c>
      <c r="Z48" s="1410" cm="1">
        <f t="array" aca="1" ref="Z48" ca="1">IFERROR(INDEX('Enveloppe du bâtiment sout.'!L:L, $F47)*$K48/$M48,0)/$I$1*(1-0.8*N48)</f>
        <v>0</v>
      </c>
      <c r="AA48" s="1460">
        <f t="shared" ca="1" si="56"/>
        <v>0</v>
      </c>
      <c r="AB48" s="1460"/>
    </row>
    <row r="49" spans="2:28" ht="15.75" customHeight="1" outlineLevel="1">
      <c r="B49" s="1871"/>
      <c r="C49" s="1874"/>
      <c r="D49" s="163"/>
      <c r="E49" s="261"/>
      <c r="F49" s="163">
        <f t="shared" ca="1" si="53"/>
        <v>60</v>
      </c>
      <c r="G49" s="163" t="str" cm="1">
        <f t="array" aca="1" ref="G49" ca="1">INDEX('Enveloppe du bâtiment sout.'!C:C, $F48)</f>
        <v>Kies 3 cm [kg]</v>
      </c>
      <c r="H49" s="163" t="str" cm="1">
        <f t="array" aca="1" ref="H49" ca="1">INDEX('Enveloppe du bâtiment sout.'!D:D, $F48)</f>
        <v>Gravier rond 1</v>
      </c>
      <c r="I49" s="163" t="str" cm="1">
        <f t="array" aca="1" ref="I49" ca="1">INDEX('Enveloppe du bâtiment sout.'!G:G, $F48)</f>
        <v>03.012</v>
      </c>
      <c r="J49" s="163" t="str">
        <f ca="1">_xlfn.XLOOKUP($I49,'Baumaterialien Matériaux'!A:A,'Baumaterialien Matériaux'!G:G,0,0)</f>
        <v>kg</v>
      </c>
      <c r="K49" s="262">
        <f t="shared" ca="1" si="54"/>
        <v>0</v>
      </c>
      <c r="L49" s="163" cm="1">
        <f t="array" aca="1" ref="L49" ca="1">INDEX('Enveloppe du bâtiment sout.'!J:J, $F48)</f>
        <v>60</v>
      </c>
      <c r="M49" s="1522" cm="1">
        <f t="array" aca="1" ref="M49" ca="1">INDEX('Enveloppe du bâtiment sout.'!H:H, $F48)</f>
        <v>60</v>
      </c>
      <c r="N49" s="1627">
        <f>'Outil détaillé'!E$16</f>
        <v>0</v>
      </c>
      <c r="O49" s="1502" cm="1">
        <f t="array" aca="1" ref="O49" ca="1">IFERROR(INDEX('Enveloppe du bâtiment sout.'!M:M, $F48)*$K49/$M49,0)/$I$1*(1-0.8*N49)</f>
        <v>0</v>
      </c>
      <c r="P49" s="1416">
        <f t="shared" ca="1" si="49"/>
        <v>0</v>
      </c>
      <c r="Q49" s="1416">
        <f t="shared" ca="1" si="49"/>
        <v>0</v>
      </c>
      <c r="R49" s="256" cm="1">
        <f t="array" aca="1" ref="R49" ca="1">_xlfn.SWITCH(L49,R$3,O49+S49,P$3,P49,0)</f>
        <v>0</v>
      </c>
      <c r="S49" s="1410" cm="1">
        <f t="array" aca="1" ref="S49" ca="1">IFERROR(INDEX('Enveloppe du bâtiment sout.'!N:N, $F48)*$K49/$M49,0)/$I$1*(1-0.8*N49)</f>
        <v>0</v>
      </c>
      <c r="T49" s="1411">
        <f t="shared" ca="1" si="55"/>
        <v>0</v>
      </c>
      <c r="U49" s="1530" cm="1">
        <f t="array" aca="1" ref="U49" ca="1">IFERROR(INDEX('Enveloppe du bâtiment sout.'!O:O, $F48)*$K49/$M49,0)/$I$1*(1-0.8*N49)</f>
        <v>0</v>
      </c>
      <c r="V49" s="1502" cm="1">
        <f t="array" aca="1" ref="V49" ca="1">IFERROR(INDEX('Enveloppe du bâtiment sout.'!K:K, $F48)*$K49/$M49,0)/$I$1*(1-0.8*N49)</f>
        <v>0</v>
      </c>
      <c r="W49" s="1416">
        <f t="shared" ca="1" si="51"/>
        <v>0</v>
      </c>
      <c r="X49" s="1416">
        <f t="shared" ca="1" si="51"/>
        <v>0</v>
      </c>
      <c r="Y49" s="256" cm="1">
        <f t="array" aca="1" ref="Y49" ca="1">_xlfn.SWITCH(T49,Y$3,V49+Z49,W$3,W49,0)</f>
        <v>0</v>
      </c>
      <c r="Z49" s="1410" cm="1">
        <f t="array" aca="1" ref="Z49" ca="1">IFERROR(INDEX('Enveloppe du bâtiment sout.'!L:L, $F48)*$K49/$M49,0)/$I$1*(1-0.8*N49)</f>
        <v>0</v>
      </c>
      <c r="AA49" s="1460">
        <f t="shared" ca="1" si="56"/>
        <v>0</v>
      </c>
      <c r="AB49" s="1460"/>
    </row>
    <row r="50" spans="2:28" ht="15.75" customHeight="1" outlineLevel="1">
      <c r="B50" s="1871"/>
      <c r="C50" s="1874"/>
      <c r="D50" s="163"/>
      <c r="E50" s="261"/>
      <c r="F50" s="163">
        <f t="shared" ca="1" si="53"/>
        <v>2</v>
      </c>
      <c r="G50" s="163" cm="1">
        <f t="array" aca="1" ref="G50" ca="1">INDEX('Enveloppe du bâtiment sout.'!C:C, $F49)</f>
        <v>0</v>
      </c>
      <c r="H50" s="163" cm="1">
        <f t="array" aca="1" ref="H50" ca="1">INDEX('Enveloppe du bâtiment sout.'!D:D, $F49)</f>
        <v>0</v>
      </c>
      <c r="I50" s="163" cm="1">
        <f t="array" aca="1" ref="I50" ca="1">INDEX('Enveloppe du bâtiment sout.'!G:G, $F49)</f>
        <v>0</v>
      </c>
      <c r="J50" s="163">
        <f ca="1">_xlfn.XLOOKUP($I50,'Baumaterialien Matériaux'!A:A,'Baumaterialien Matériaux'!G:G,0,0)</f>
        <v>0</v>
      </c>
      <c r="K50" s="262">
        <f t="shared" ca="1" si="54"/>
        <v>0</v>
      </c>
      <c r="L50" s="163" cm="1">
        <f t="array" aca="1" ref="L50" ca="1">INDEX('Enveloppe du bâtiment sout.'!J:J, $F49)</f>
        <v>60</v>
      </c>
      <c r="M50" s="1522" cm="1">
        <f t="array" aca="1" ref="M50" ca="1">INDEX('Enveloppe du bâtiment sout.'!H:H, $F49)</f>
        <v>0</v>
      </c>
      <c r="N50" s="1627">
        <f>'Outil détaillé'!E$16</f>
        <v>0</v>
      </c>
      <c r="O50" s="1502" cm="1">
        <f t="array" aca="1" ref="O50" ca="1">IFERROR(INDEX('Enveloppe du bâtiment sout.'!M:M, $F49)*$K50/$M50,0)/$I$1*(1-0.8*N50)</f>
        <v>0</v>
      </c>
      <c r="P50" s="1416">
        <f t="shared" ca="1" si="49"/>
        <v>0</v>
      </c>
      <c r="Q50" s="1416">
        <f t="shared" ca="1" si="49"/>
        <v>0</v>
      </c>
      <c r="R50" s="256" cm="1">
        <f t="array" aca="1" ref="R50" ca="1">_xlfn.SWITCH(L50,R$3,O50+S50,P$3,P50,0)</f>
        <v>0</v>
      </c>
      <c r="S50" s="1410" cm="1">
        <f t="array" aca="1" ref="S50" ca="1">IFERROR(INDEX('Enveloppe du bâtiment sout.'!N:N, $F49)*$K50/$M50,0)/$I$1*(1-0.8*N50)</f>
        <v>0</v>
      </c>
      <c r="T50" s="1411">
        <f t="shared" ca="1" si="55"/>
        <v>0</v>
      </c>
      <c r="U50" s="1530" cm="1">
        <f t="array" aca="1" ref="U50" ca="1">IFERROR(INDEX('Enveloppe du bâtiment sout.'!O:O, $F49)*$K50/$M50,0)/$I$1*(1-0.8*N50)</f>
        <v>0</v>
      </c>
      <c r="V50" s="1502" cm="1">
        <f t="array" aca="1" ref="V50" ca="1">IFERROR(INDEX('Enveloppe du bâtiment sout.'!K:K, $F49)*$K50/$M50,0)/$I$1*(1-0.8*N50)</f>
        <v>0</v>
      </c>
      <c r="W50" s="1416">
        <f t="shared" ca="1" si="51"/>
        <v>0</v>
      </c>
      <c r="X50" s="1416">
        <f t="shared" ca="1" si="51"/>
        <v>0</v>
      </c>
      <c r="Y50" s="256" cm="1">
        <f t="array" aca="1" ref="Y50" ca="1">_xlfn.SWITCH(T50,Y$3,V50+Z50,W$3,W50,0)</f>
        <v>0</v>
      </c>
      <c r="Z50" s="1410" cm="1">
        <f t="array" aca="1" ref="Z50" ca="1">IFERROR(INDEX('Enveloppe du bâtiment sout.'!L:L, $F49)*$K50/$M50,0)/$I$1*(1-0.8*N50)</f>
        <v>0</v>
      </c>
      <c r="AA50" s="1460">
        <f t="shared" ca="1" si="56"/>
        <v>0</v>
      </c>
      <c r="AB50" s="1460"/>
    </row>
    <row r="51" spans="2:28" ht="15.75" customHeight="1" outlineLevel="1">
      <c r="B51" s="1871"/>
      <c r="C51" s="1874"/>
      <c r="D51" s="163"/>
      <c r="E51" s="261"/>
      <c r="F51" s="163">
        <f t="shared" ca="1" si="53"/>
        <v>2</v>
      </c>
      <c r="G51" s="163" cm="1">
        <f t="array" aca="1" ref="G51" ca="1">INDEX('Enveloppe du bâtiment sout.'!C:C, $F50)</f>
        <v>0</v>
      </c>
      <c r="H51" s="163" cm="1">
        <f t="array" aca="1" ref="H51" ca="1">INDEX('Enveloppe du bâtiment sout.'!D:D, $F50)</f>
        <v>0</v>
      </c>
      <c r="I51" s="163" cm="1">
        <f t="array" aca="1" ref="I51" ca="1">INDEX('Enveloppe du bâtiment sout.'!G:G, $F50)</f>
        <v>0</v>
      </c>
      <c r="J51" s="163">
        <f ca="1">_xlfn.XLOOKUP($I51,'Baumaterialien Matériaux'!A:A,'Baumaterialien Matériaux'!G:G,0,0)</f>
        <v>0</v>
      </c>
      <c r="K51" s="262">
        <f t="shared" ca="1" si="54"/>
        <v>0</v>
      </c>
      <c r="L51" s="163" cm="1">
        <f t="array" aca="1" ref="L51" ca="1">INDEX('Enveloppe du bâtiment sout.'!J:J, $F50)</f>
        <v>0</v>
      </c>
      <c r="M51" s="1522" cm="1">
        <f t="array" aca="1" ref="M51" ca="1">INDEX('Enveloppe du bâtiment sout.'!H:H, $F50)</f>
        <v>0</v>
      </c>
      <c r="N51" s="1627">
        <f>'Outil détaillé'!E$16</f>
        <v>0</v>
      </c>
      <c r="O51" s="1502" cm="1">
        <f t="array" aca="1" ref="O51" ca="1">IFERROR(INDEX('Enveloppe du bâtiment sout.'!M:M, $F50)*$K51/$M51,0)/$I$1*(1-0.8*N51)</f>
        <v>0</v>
      </c>
      <c r="P51" s="1416">
        <f t="shared" ca="1" si="49"/>
        <v>0</v>
      </c>
      <c r="Q51" s="1416">
        <f t="shared" ca="1" si="49"/>
        <v>0</v>
      </c>
      <c r="R51" s="256" cm="1">
        <f t="array" aca="1" ref="R51" ca="1">_xlfn.SWITCH(L51,R$3,O51+S51,P$3,P51,0)</f>
        <v>0</v>
      </c>
      <c r="S51" s="1410" cm="1">
        <f t="array" aca="1" ref="S51" ca="1">IFERROR(INDEX('Enveloppe du bâtiment sout.'!N:N, $F50)*$K51/$M51,0)/$I$1*(1-0.8*N51)</f>
        <v>0</v>
      </c>
      <c r="T51" s="1411">
        <f t="shared" ca="1" si="55"/>
        <v>0</v>
      </c>
      <c r="U51" s="1530" cm="1">
        <f t="array" aca="1" ref="U51" ca="1">IFERROR(INDEX('Enveloppe du bâtiment sout.'!O:O, $F50)*$K51/$M51,0)/$I$1*(1-0.8*N51)</f>
        <v>0</v>
      </c>
      <c r="V51" s="1502" cm="1">
        <f t="array" aca="1" ref="V51" ca="1">IFERROR(INDEX('Enveloppe du bâtiment sout.'!K:K, $F50)*$K51/$M51,0)/$I$1*(1-0.8*N51)</f>
        <v>0</v>
      </c>
      <c r="W51" s="1416">
        <f t="shared" ca="1" si="51"/>
        <v>0</v>
      </c>
      <c r="X51" s="1416">
        <f t="shared" ca="1" si="51"/>
        <v>0</v>
      </c>
      <c r="Y51" s="256" cm="1">
        <f t="array" aca="1" ref="Y51" ca="1">_xlfn.SWITCH(T51,Y$3,V51+Z51,W$3,W51,0)</f>
        <v>0</v>
      </c>
      <c r="Z51" s="1410" cm="1">
        <f t="array" aca="1" ref="Z51" ca="1">IFERROR(INDEX('Enveloppe du bâtiment sout.'!L:L, $F50)*$K51/$M51,0)/$I$1*(1-0.8*N51)</f>
        <v>0</v>
      </c>
      <c r="AA51" s="1460">
        <f t="shared" ca="1" si="56"/>
        <v>0</v>
      </c>
      <c r="AB51" s="1460"/>
    </row>
    <row r="52" spans="2:28" ht="15.75" customHeight="1" outlineLevel="1" thickBot="1">
      <c r="B52" s="1872"/>
      <c r="C52" s="1884"/>
      <c r="D52" s="640"/>
      <c r="E52" s="1048"/>
      <c r="F52" s="640">
        <f t="shared" ref="F52" ca="1" si="57">IF(I52=0,2,F51+1)</f>
        <v>2</v>
      </c>
      <c r="G52" s="640" cm="1">
        <f t="array" aca="1" ref="G52" ca="1">INDEX('Enveloppe du bâtiment sout.'!C:C, $F51)</f>
        <v>0</v>
      </c>
      <c r="H52" s="640" cm="1">
        <f t="array" aca="1" ref="H52" ca="1">INDEX('Enveloppe du bâtiment sout.'!D:D, $F51)</f>
        <v>0</v>
      </c>
      <c r="I52" s="640" cm="1">
        <f t="array" aca="1" ref="I52" ca="1">INDEX('Enveloppe du bâtiment sout.'!G:G, $F51)</f>
        <v>0</v>
      </c>
      <c r="J52" s="640">
        <f ca="1">_xlfn.XLOOKUP($I52,'Baumaterialien Matériaux'!A:A,'Baumaterialien Matériaux'!G:G,0,0)</f>
        <v>0</v>
      </c>
      <c r="K52" s="1049">
        <f t="shared" ca="1" si="54"/>
        <v>0</v>
      </c>
      <c r="L52" s="640" cm="1">
        <f t="array" aca="1" ref="L52" ca="1">INDEX('Enveloppe du bâtiment sout.'!J:J, $F51)</f>
        <v>0</v>
      </c>
      <c r="M52" s="1524" cm="1">
        <f t="array" aca="1" ref="M52" ca="1">INDEX('Enveloppe du bâtiment sout.'!H:H, $F51)</f>
        <v>0</v>
      </c>
      <c r="N52" s="1627">
        <f>'Outil détaillé'!E$16</f>
        <v>0</v>
      </c>
      <c r="O52" s="1502" cm="1">
        <f t="array" aca="1" ref="O52" ca="1">IFERROR(INDEX('Enveloppe du bâtiment sout.'!M:M, $F51)*$K52/$M52,0)/$I$1*(1-0.8*N52)</f>
        <v>0</v>
      </c>
      <c r="P52" s="1416">
        <f t="shared" ca="1" si="49"/>
        <v>0</v>
      </c>
      <c r="Q52" s="1416">
        <f t="shared" ca="1" si="49"/>
        <v>0</v>
      </c>
      <c r="R52" s="256" cm="1">
        <f t="array" aca="1" ref="R52" ca="1">_xlfn.SWITCH(L52,R$3,O52+S52,P$3,P52,0)</f>
        <v>0</v>
      </c>
      <c r="S52" s="1410" cm="1">
        <f t="array" aca="1" ref="S52" ca="1">IFERROR(INDEX('Enveloppe du bâtiment sout.'!N:N, $F51)*$K52/$M52,0)/$I$1*(1-0.8*N52)</f>
        <v>0</v>
      </c>
      <c r="T52" s="1411">
        <f t="shared" ca="1" si="55"/>
        <v>0</v>
      </c>
      <c r="U52" s="1530" cm="1">
        <f t="array" aca="1" ref="U52" ca="1">IFERROR(INDEX('Enveloppe du bâtiment sout.'!O:O, $F51)*$K52/$M52,0)/$I$1*(1-0.8*N52)</f>
        <v>0</v>
      </c>
      <c r="V52" s="1502" cm="1">
        <f t="array" aca="1" ref="V52" ca="1">IFERROR(INDEX('Enveloppe du bâtiment sout.'!K:K, $F51)*$K52/$M52,0)/$I$1*(1-0.8*N52)</f>
        <v>0</v>
      </c>
      <c r="W52" s="1416">
        <f t="shared" ca="1" si="51"/>
        <v>0</v>
      </c>
      <c r="X52" s="1416">
        <f t="shared" ca="1" si="51"/>
        <v>0</v>
      </c>
      <c r="Y52" s="256" cm="1">
        <f t="array" aca="1" ref="Y52" ca="1">_xlfn.SWITCH(T52,Y$3,V52+Z52,W$3,W52,0)</f>
        <v>0</v>
      </c>
      <c r="Z52" s="1410" cm="1">
        <f t="array" aca="1" ref="Z52" ca="1">IFERROR(INDEX('Enveloppe du bâtiment sout.'!L:L, $F51)*$K52/$M52,0)/$I$1*(1-0.8*N52)</f>
        <v>0</v>
      </c>
      <c r="AA52" s="1460">
        <f t="shared" ca="1" si="56"/>
        <v>0</v>
      </c>
      <c r="AB52" s="1460"/>
    </row>
    <row r="53" spans="2:28" ht="15.6" customHeight="1">
      <c r="B53" s="1870" t="s">
        <v>500</v>
      </c>
      <c r="C53" s="1876" t="str">
        <f>'Outil détaillé'!C17</f>
        <v>C02.01 (B)</v>
      </c>
      <c r="D53" s="636" t="str">
        <f>'Outil détaillé'!D17</f>
        <v>Parois extérieures hors terrain</v>
      </c>
      <c r="E53" s="636"/>
      <c r="F53" s="636">
        <f>MATCH(D53, 'Enveloppe du bâtiment hors terr'!B:B,0)</f>
        <v>3</v>
      </c>
      <c r="G53" s="636"/>
      <c r="H53" s="636"/>
      <c r="I53" s="636"/>
      <c r="J53" s="636"/>
      <c r="K53" s="1046"/>
      <c r="L53" s="1040"/>
      <c r="M53" s="1518"/>
      <c r="N53" s="1622"/>
      <c r="O53" s="1486">
        <f t="shared" ref="O53" ca="1" si="58">O54</f>
        <v>5.9627839999999992</v>
      </c>
      <c r="P53" s="1041">
        <f t="shared" ref="P53:R53" ca="1" si="59">P54</f>
        <v>0</v>
      </c>
      <c r="Q53" s="1041">
        <f t="shared" ca="1" si="59"/>
        <v>0</v>
      </c>
      <c r="R53" s="1041">
        <f t="shared" ca="1" si="59"/>
        <v>0</v>
      </c>
      <c r="S53" s="1041">
        <f t="shared" ref="S53" ca="1" si="60">S54</f>
        <v>2.5724399999999998</v>
      </c>
      <c r="T53" s="1041">
        <f ca="1">T54</f>
        <v>8.5352239999999995</v>
      </c>
      <c r="U53" s="1487">
        <f ca="1">U54</f>
        <v>99.885426666666675</v>
      </c>
      <c r="V53" s="1486">
        <f t="shared" ref="V53" ca="1" si="61">V54</f>
        <v>27.769159999999999</v>
      </c>
      <c r="W53" s="1041">
        <f t="shared" ref="W53:Z53" ca="1" si="62">W54</f>
        <v>0</v>
      </c>
      <c r="X53" s="1041">
        <f t="shared" ca="1" si="62"/>
        <v>0</v>
      </c>
      <c r="Y53" s="1041">
        <f t="shared" ca="1" si="62"/>
        <v>0</v>
      </c>
      <c r="Z53" s="1041">
        <f t="shared" ca="1" si="62"/>
        <v>5.8572480000000002</v>
      </c>
      <c r="AA53" s="1487">
        <f ca="1">AA54</f>
        <v>33.626407999999998</v>
      </c>
      <c r="AB53" s="1487"/>
    </row>
    <row r="54" spans="2:28" ht="15.75">
      <c r="B54" s="1871"/>
      <c r="C54" s="1874"/>
      <c r="D54" s="163" t="str">
        <f>'Outil détaillé'!D18</f>
        <v>Façade structure</v>
      </c>
      <c r="E54" s="164" t="str">
        <f>'Outil détaillé'!F18</f>
        <v>Paroi en bois</v>
      </c>
      <c r="F54" s="800">
        <f ca="1">MATCH(E54, INDIRECT("'Enveloppe du bâtiment hors terr'!A"&amp;F53+1&amp;":A500"),0)+F53</f>
        <v>9</v>
      </c>
      <c r="G54" s="271"/>
      <c r="H54" s="271"/>
      <c r="I54" s="271"/>
      <c r="J54" s="164" t="s">
        <v>87</v>
      </c>
      <c r="K54" s="270">
        <f>'Outil détaillé'!K18</f>
        <v>217.6</v>
      </c>
      <c r="L54" s="271"/>
      <c r="M54" s="1467"/>
      <c r="N54" s="1623"/>
      <c r="O54" s="1488">
        <f t="shared" ref="O54" ca="1" si="63">SUM(O55:O60)</f>
        <v>5.9627839999999992</v>
      </c>
      <c r="P54" s="1489">
        <f t="shared" ref="P54:R54" ca="1" si="64">SUM(P55:P60)</f>
        <v>0</v>
      </c>
      <c r="Q54" s="1489">
        <f t="shared" ca="1" si="64"/>
        <v>0</v>
      </c>
      <c r="R54" s="1489">
        <f t="shared" ca="1" si="64"/>
        <v>0</v>
      </c>
      <c r="S54" s="1489">
        <f t="shared" ref="S54" ca="1" si="65">SUM(S55:S60)</f>
        <v>2.5724399999999998</v>
      </c>
      <c r="T54" s="1489">
        <f ca="1">SUM(T55:T60)</f>
        <v>8.5352239999999995</v>
      </c>
      <c r="U54" s="1490">
        <f ca="1">SUM(U55:U60)</f>
        <v>99.885426666666675</v>
      </c>
      <c r="V54" s="1488">
        <f t="shared" ref="V54" ca="1" si="66">SUM(V55:V60)</f>
        <v>27.769159999999999</v>
      </c>
      <c r="W54" s="1489">
        <f t="shared" ref="W54:Z54" ca="1" si="67">SUM(W55:W60)</f>
        <v>0</v>
      </c>
      <c r="X54" s="1489">
        <f t="shared" ca="1" si="67"/>
        <v>0</v>
      </c>
      <c r="Y54" s="1489">
        <f t="shared" ca="1" si="67"/>
        <v>0</v>
      </c>
      <c r="Z54" s="1489">
        <f t="shared" ca="1" si="67"/>
        <v>5.8572480000000002</v>
      </c>
      <c r="AA54" s="1490">
        <f ca="1">SUM(AA55:AA60)</f>
        <v>33.626407999999998</v>
      </c>
      <c r="AB54" s="1490"/>
    </row>
    <row r="55" spans="2:28" ht="15.75" customHeight="1" outlineLevel="1">
      <c r="B55" s="1871"/>
      <c r="C55" s="1874"/>
      <c r="D55" s="163"/>
      <c r="E55" s="261"/>
      <c r="F55" s="163">
        <f ca="1">IF(I55=0,2,F54+1)</f>
        <v>10</v>
      </c>
      <c r="G55" s="163" t="str" cm="1">
        <f t="array" aca="1" ref="G55" ca="1">INDEX( 'Enveloppe du bâtiment hors terr'!C:C, $F54)</f>
        <v>Nadelschnittholz [kg]</v>
      </c>
      <c r="H55" s="163" t="str" cm="1">
        <f t="array" aca="1" ref="H55" ca="1">INDEX( 'Enveloppe du bâtiment hors terr'!D:D, $F54)</f>
        <v>Bois massif épicéa / sapin / mélèze, séché à l'air, brut</v>
      </c>
      <c r="I55" s="163" t="str" cm="1">
        <f t="array" aca="1" ref="I55" ca="1">INDEX( 'Enveloppe du bâtiment hors terr'!G:G, $F54)</f>
        <v>07.009</v>
      </c>
      <c r="J55" s="163" t="str">
        <f ca="1">_xlfn.XLOOKUP($I55,'Baumaterialien Matériaux'!A:A,'Baumaterialien Matériaux'!G:G,0,0)</f>
        <v>kg</v>
      </c>
      <c r="K55" s="262">
        <f ca="1">M55*K$54</f>
        <v>10553.6</v>
      </c>
      <c r="L55" s="163" cm="1">
        <f t="array" aca="1" ref="L55" ca="1">INDEX( 'Enveloppe du bâtiment hors terr'!J:J, $F54)</f>
        <v>60</v>
      </c>
      <c r="M55" s="1522" cm="1">
        <f t="array" aca="1" ref="M55" ca="1">INDEX( 'Enveloppe du bâtiment hors terr'!H:H, $F54)</f>
        <v>48.5</v>
      </c>
      <c r="N55" s="1627">
        <f>'Outil détaillé'!E$18</f>
        <v>0</v>
      </c>
      <c r="O55" s="1502" cm="1">
        <f t="array" aca="1" ref="O55" ca="1">IFERROR(INDEX('Enveloppe du bâtiment hors terr'!M:M, $F54)*$K55/$M55,0)/$I$1*(1-0.8*N55)</f>
        <v>5.9627839999999992</v>
      </c>
      <c r="P55" s="1416">
        <f t="shared" ref="P55:Q60" ca="1" si="68">IF($L55=P$3,$O55+$S55,0)</f>
        <v>0</v>
      </c>
      <c r="Q55" s="1416">
        <f t="shared" ca="1" si="68"/>
        <v>0</v>
      </c>
      <c r="R55" s="256" cm="1">
        <f t="array" aca="1" ref="R55" ca="1">_xlfn.SWITCH(L55,R$3,O55+S55,P$3,P55,0)</f>
        <v>0</v>
      </c>
      <c r="S55" s="1410" cm="1">
        <f t="array" aca="1" ref="S55" ca="1">IFERROR(INDEX('Enveloppe du bâtiment hors terr'!N:N, $F54)*$K55/$M55,0)/$I$1*(1-0.8*N55)</f>
        <v>2.5724399999999998</v>
      </c>
      <c r="T55" s="1411">
        <f t="shared" ref="T55" ca="1" si="69">SUM(O55:S55)</f>
        <v>8.5352239999999995</v>
      </c>
      <c r="U55" s="1530" cm="1">
        <f t="array" aca="1" ref="U55" ca="1">IFERROR(INDEX('Enveloppe du bâtiment hors terr'!O:O, $F54)*$K55/$M55,0)/$I$1*(1-0.8*N55)</f>
        <v>99.885426666666675</v>
      </c>
      <c r="V55" s="1502" cm="1">
        <f t="array" aca="1" ref="V55" ca="1">IFERROR(INDEX('Enveloppe du bâtiment hors terr'!K:K, $F54)*$K55/$M55,0)/$I$1*(1-0.8*N55)</f>
        <v>27.769159999999999</v>
      </c>
      <c r="W55" s="1416">
        <f t="shared" ref="W55:X60" ca="1" si="70">IF($L55=W$3,$V55+$Z55,0)</f>
        <v>0</v>
      </c>
      <c r="X55" s="1416">
        <f t="shared" ca="1" si="70"/>
        <v>0</v>
      </c>
      <c r="Y55" s="256" cm="1">
        <f t="array" aca="1" ref="Y55" ca="1">_xlfn.SWITCH(T55,Y$3,V55+Z55,W$3,W55,0)</f>
        <v>0</v>
      </c>
      <c r="Z55" s="1410" cm="1">
        <f t="array" aca="1" ref="Z55" ca="1">IFERROR(INDEX('Enveloppe du bâtiment hors terr'!L:L, $F54)*$K55/$M55,0)/$I$1*(1-0.8*N55)</f>
        <v>5.8572480000000002</v>
      </c>
      <c r="AA55" s="1460">
        <f t="shared" ref="AA55" ca="1" si="71">SUM(V55:Z55)</f>
        <v>33.626407999999998</v>
      </c>
      <c r="AB55" s="1460" cm="1">
        <f t="array" aca="1" ref="AB55" ca="1">INDEX( 'Enveloppe du bâtiment hors terr'!V:V, $F54)</f>
        <v>76.92307692307692</v>
      </c>
    </row>
    <row r="56" spans="2:28" ht="15.75" customHeight="1" outlineLevel="1">
      <c r="B56" s="1871"/>
      <c r="C56" s="1874"/>
      <c r="D56" s="163"/>
      <c r="E56" s="261"/>
      <c r="F56" s="163">
        <f t="shared" ref="F56:F60" ca="1" si="72">IF(I56=0,2,F55+1)</f>
        <v>2</v>
      </c>
      <c r="G56" s="163" cm="1">
        <f t="array" aca="1" ref="G56" ca="1">INDEX( 'Enveloppe du bâtiment hors terr'!C:C, $F55)</f>
        <v>0</v>
      </c>
      <c r="H56" s="163" cm="1">
        <f t="array" aca="1" ref="H56" ca="1">INDEX( 'Enveloppe du bâtiment hors terr'!D:D, $F55)</f>
        <v>0</v>
      </c>
      <c r="I56" s="163" cm="1">
        <f t="array" aca="1" ref="I56" ca="1">INDEX( 'Enveloppe du bâtiment hors terr'!G:G, $F55)</f>
        <v>0</v>
      </c>
      <c r="J56" s="163">
        <f ca="1">_xlfn.XLOOKUP($I56,'Baumaterialien Matériaux'!A:A,'Baumaterialien Matériaux'!G:G,0,0)</f>
        <v>0</v>
      </c>
      <c r="K56" s="262">
        <f t="shared" ref="K56:K60" ca="1" si="73">M56*K$54</f>
        <v>0</v>
      </c>
      <c r="L56" s="163" cm="1">
        <f t="array" aca="1" ref="L56" ca="1">INDEX( 'Enveloppe du bâtiment hors terr'!J:J, $F55)</f>
        <v>0</v>
      </c>
      <c r="M56" s="1522" cm="1">
        <f t="array" aca="1" ref="M56" ca="1">INDEX( 'Enveloppe du bâtiment hors terr'!H:H, $F55)</f>
        <v>0</v>
      </c>
      <c r="N56" s="1627">
        <f>'Outil détaillé'!E$18</f>
        <v>0</v>
      </c>
      <c r="O56" s="1502" cm="1">
        <f t="array" aca="1" ref="O56" ca="1">IFERROR(INDEX('Enveloppe du bâtiment hors terr'!M:M, $F55)*$K56/$M56,0)/$I$1*(1-0.8*N56)</f>
        <v>0</v>
      </c>
      <c r="P56" s="1416">
        <f t="shared" ca="1" si="68"/>
        <v>0</v>
      </c>
      <c r="Q56" s="1416">
        <f t="shared" ca="1" si="68"/>
        <v>0</v>
      </c>
      <c r="R56" s="256" cm="1">
        <f t="array" aca="1" ref="R56" ca="1">_xlfn.SWITCH(L56,R$3,O56+S56,P$3,P56,0)</f>
        <v>0</v>
      </c>
      <c r="S56" s="1410" cm="1">
        <f t="array" aca="1" ref="S56" ca="1">IFERROR(INDEX('Enveloppe du bâtiment hors terr'!N:N, $F55)*$K56/$M56,0)/$I$1*(1-0.8*N56)</f>
        <v>0</v>
      </c>
      <c r="T56" s="1411">
        <f t="shared" ref="T56:T60" ca="1" si="74">SUM(O56:S56)</f>
        <v>0</v>
      </c>
      <c r="U56" s="1530" cm="1">
        <f t="array" aca="1" ref="U56" ca="1">IFERROR(INDEX('Enveloppe du bâtiment hors terr'!O:O, $F55)*$K56/$M56,0)/$I$1*(1-0.8*N56)</f>
        <v>0</v>
      </c>
      <c r="V56" s="1502" cm="1">
        <f t="array" aca="1" ref="V56" ca="1">IFERROR(INDEX('Enveloppe du bâtiment hors terr'!K:K, $F55)*$K56/$M56,0)/$I$1*(1-0.8*N56)</f>
        <v>0</v>
      </c>
      <c r="W56" s="1416">
        <f t="shared" ca="1" si="70"/>
        <v>0</v>
      </c>
      <c r="X56" s="1416">
        <f t="shared" ca="1" si="70"/>
        <v>0</v>
      </c>
      <c r="Y56" s="256" cm="1">
        <f t="array" aca="1" ref="Y56" ca="1">_xlfn.SWITCH(T56,Y$3,V56+Z56,W$3,W56,0)</f>
        <v>0</v>
      </c>
      <c r="Z56" s="1410" cm="1">
        <f t="array" aca="1" ref="Z56" ca="1">IFERROR(INDEX('Enveloppe du bâtiment hors terr'!L:L, $F55)*$K56/$M56,0)/$I$1*(1-0.8*N56)</f>
        <v>0</v>
      </c>
      <c r="AA56" s="1460">
        <f t="shared" ref="AA56:AA60" ca="1" si="75">SUM(V56:Z56)</f>
        <v>0</v>
      </c>
      <c r="AB56" s="1460" cm="1">
        <f t="array" aca="1" ref="AB56" ca="1">INDEX( 'Enveloppe du bâtiment hors terr'!V:V, $F55)</f>
        <v>0</v>
      </c>
    </row>
    <row r="57" spans="2:28" ht="15.75" customHeight="1" outlineLevel="1">
      <c r="B57" s="1871"/>
      <c r="C57" s="1874"/>
      <c r="D57" s="163"/>
      <c r="E57" s="261"/>
      <c r="F57" s="163">
        <f t="shared" ca="1" si="72"/>
        <v>2</v>
      </c>
      <c r="G57" s="163" cm="1">
        <f t="array" aca="1" ref="G57" ca="1">INDEX( 'Enveloppe du bâtiment hors terr'!C:C, $F56)</f>
        <v>0</v>
      </c>
      <c r="H57" s="163" cm="1">
        <f t="array" aca="1" ref="H57" ca="1">INDEX( 'Enveloppe du bâtiment hors terr'!D:D, $F56)</f>
        <v>0</v>
      </c>
      <c r="I57" s="163" cm="1">
        <f t="array" aca="1" ref="I57" ca="1">INDEX( 'Enveloppe du bâtiment hors terr'!G:G, $F56)</f>
        <v>0</v>
      </c>
      <c r="J57" s="163">
        <f ca="1">_xlfn.XLOOKUP($I57,'Baumaterialien Matériaux'!A:A,'Baumaterialien Matériaux'!G:G,0,0)</f>
        <v>0</v>
      </c>
      <c r="K57" s="262">
        <f t="shared" ca="1" si="73"/>
        <v>0</v>
      </c>
      <c r="L57" s="163" cm="1">
        <f t="array" aca="1" ref="L57" ca="1">INDEX( 'Enveloppe du bâtiment hors terr'!J:J, $F56)</f>
        <v>0</v>
      </c>
      <c r="M57" s="1522" cm="1">
        <f t="array" aca="1" ref="M57" ca="1">INDEX( 'Enveloppe du bâtiment hors terr'!H:H, $F56)</f>
        <v>0</v>
      </c>
      <c r="N57" s="1627">
        <f>'Outil détaillé'!E$18</f>
        <v>0</v>
      </c>
      <c r="O57" s="1502" cm="1">
        <f t="array" aca="1" ref="O57" ca="1">IFERROR(INDEX('Enveloppe du bâtiment hors terr'!M:M, $F56)*$K57/$M57,0)/$I$1*(1-0.8*N57)</f>
        <v>0</v>
      </c>
      <c r="P57" s="1416">
        <f t="shared" ca="1" si="68"/>
        <v>0</v>
      </c>
      <c r="Q57" s="1416">
        <f t="shared" ca="1" si="68"/>
        <v>0</v>
      </c>
      <c r="R57" s="256" cm="1">
        <f t="array" aca="1" ref="R57" ca="1">_xlfn.SWITCH(L57,R$3,O57+S57,P$3,P57,0)</f>
        <v>0</v>
      </c>
      <c r="S57" s="1410" cm="1">
        <f t="array" aca="1" ref="S57" ca="1">IFERROR(INDEX('Enveloppe du bâtiment hors terr'!N:N, $F56)*$K57/$M57,0)/$I$1*(1-0.8*N57)</f>
        <v>0</v>
      </c>
      <c r="T57" s="1411">
        <f t="shared" ca="1" si="74"/>
        <v>0</v>
      </c>
      <c r="U57" s="1530" cm="1">
        <f t="array" aca="1" ref="U57" ca="1">IFERROR(INDEX('Enveloppe du bâtiment hors terr'!O:O, $F56)*$K57/$M57,0)/$I$1*(1-0.8*N57)</f>
        <v>0</v>
      </c>
      <c r="V57" s="1502" cm="1">
        <f t="array" aca="1" ref="V57" ca="1">IFERROR(INDEX('Enveloppe du bâtiment hors terr'!K:K, $F56)*$K57/$M57,0)/$I$1*(1-0.8*N57)</f>
        <v>0</v>
      </c>
      <c r="W57" s="1416">
        <f t="shared" ca="1" si="70"/>
        <v>0</v>
      </c>
      <c r="X57" s="1416">
        <f t="shared" ca="1" si="70"/>
        <v>0</v>
      </c>
      <c r="Y57" s="256" cm="1">
        <f t="array" aca="1" ref="Y57" ca="1">_xlfn.SWITCH(T57,Y$3,V57+Z57,W$3,W57,0)</f>
        <v>0</v>
      </c>
      <c r="Z57" s="1410" cm="1">
        <f t="array" aca="1" ref="Z57" ca="1">IFERROR(INDEX('Enveloppe du bâtiment hors terr'!L:L, $F56)*$K57/$M57,0)/$I$1*(1-0.8*N57)</f>
        <v>0</v>
      </c>
      <c r="AA57" s="1460">
        <f t="shared" ca="1" si="75"/>
        <v>0</v>
      </c>
      <c r="AB57" s="1460" cm="1">
        <f t="array" aca="1" ref="AB57" ca="1">INDEX( 'Enveloppe du bâtiment hors terr'!V:V, $F56)</f>
        <v>0</v>
      </c>
    </row>
    <row r="58" spans="2:28" ht="15.75" customHeight="1" outlineLevel="1">
      <c r="B58" s="1871"/>
      <c r="C58" s="1874"/>
      <c r="D58" s="163"/>
      <c r="E58" s="261"/>
      <c r="F58" s="163">
        <f t="shared" ca="1" si="72"/>
        <v>2</v>
      </c>
      <c r="G58" s="163" cm="1">
        <f t="array" aca="1" ref="G58" ca="1">INDEX( 'Enveloppe du bâtiment hors terr'!C:C, $F57)</f>
        <v>0</v>
      </c>
      <c r="H58" s="163" cm="1">
        <f t="array" aca="1" ref="H58" ca="1">INDEX( 'Enveloppe du bâtiment hors terr'!D:D, $F57)</f>
        <v>0</v>
      </c>
      <c r="I58" s="163" cm="1">
        <f t="array" aca="1" ref="I58" ca="1">INDEX( 'Enveloppe du bâtiment hors terr'!G:G, $F57)</f>
        <v>0</v>
      </c>
      <c r="J58" s="163">
        <f ca="1">_xlfn.XLOOKUP($I58,'Baumaterialien Matériaux'!A:A,'Baumaterialien Matériaux'!G:G,0,0)</f>
        <v>0</v>
      </c>
      <c r="K58" s="262">
        <f t="shared" ca="1" si="73"/>
        <v>0</v>
      </c>
      <c r="L58" s="163" cm="1">
        <f t="array" aca="1" ref="L58" ca="1">INDEX( 'Enveloppe du bâtiment hors terr'!J:J, $F57)</f>
        <v>0</v>
      </c>
      <c r="M58" s="1522" cm="1">
        <f t="array" aca="1" ref="M58" ca="1">INDEX( 'Enveloppe du bâtiment hors terr'!H:H, $F57)</f>
        <v>0</v>
      </c>
      <c r="N58" s="1627">
        <f>'Outil détaillé'!E$18</f>
        <v>0</v>
      </c>
      <c r="O58" s="1502" cm="1">
        <f t="array" aca="1" ref="O58" ca="1">IFERROR(INDEX('Enveloppe du bâtiment hors terr'!M:M, $F57)*$K58/$M58,0)/$I$1*(1-0.8*N58)</f>
        <v>0</v>
      </c>
      <c r="P58" s="1416">
        <f t="shared" ca="1" si="68"/>
        <v>0</v>
      </c>
      <c r="Q58" s="1416">
        <f t="shared" ca="1" si="68"/>
        <v>0</v>
      </c>
      <c r="R58" s="256" cm="1">
        <f t="array" aca="1" ref="R58" ca="1">_xlfn.SWITCH(L58,R$3,O58+S58,P$3,P58,0)</f>
        <v>0</v>
      </c>
      <c r="S58" s="1410" cm="1">
        <f t="array" aca="1" ref="S58" ca="1">IFERROR(INDEX('Enveloppe du bâtiment hors terr'!N:N, $F57)*$K58/$M58,0)/$I$1*(1-0.8*N58)</f>
        <v>0</v>
      </c>
      <c r="T58" s="1411">
        <f t="shared" ca="1" si="74"/>
        <v>0</v>
      </c>
      <c r="U58" s="1530" cm="1">
        <f t="array" aca="1" ref="U58" ca="1">IFERROR(INDEX('Enveloppe du bâtiment hors terr'!O:O, $F57)*$K58/$M58,0)/$I$1*(1-0.8*N58)</f>
        <v>0</v>
      </c>
      <c r="V58" s="1502" cm="1">
        <f t="array" aca="1" ref="V58" ca="1">IFERROR(INDEX('Enveloppe du bâtiment hors terr'!K:K, $F57)*$K58/$M58,0)/$I$1*(1-0.8*N58)</f>
        <v>0</v>
      </c>
      <c r="W58" s="1416">
        <f t="shared" ca="1" si="70"/>
        <v>0</v>
      </c>
      <c r="X58" s="1416">
        <f t="shared" ca="1" si="70"/>
        <v>0</v>
      </c>
      <c r="Y58" s="256" cm="1">
        <f t="array" aca="1" ref="Y58" ca="1">_xlfn.SWITCH(T58,Y$3,V58+Z58,W$3,W58,0)</f>
        <v>0</v>
      </c>
      <c r="Z58" s="1410" cm="1">
        <f t="array" aca="1" ref="Z58" ca="1">IFERROR(INDEX('Enveloppe du bâtiment hors terr'!L:L, $F57)*$K58/$M58,0)/$I$1*(1-0.8*N58)</f>
        <v>0</v>
      </c>
      <c r="AA58" s="1460">
        <f t="shared" ca="1" si="75"/>
        <v>0</v>
      </c>
      <c r="AB58" s="1460" cm="1">
        <f t="array" aca="1" ref="AB58" ca="1">INDEX( 'Enveloppe du bâtiment hors terr'!V:V, $F57)</f>
        <v>0</v>
      </c>
    </row>
    <row r="59" spans="2:28" ht="15.75" customHeight="1" outlineLevel="1">
      <c r="B59" s="1871"/>
      <c r="C59" s="1874"/>
      <c r="D59" s="163"/>
      <c r="E59" s="261"/>
      <c r="F59" s="163">
        <f t="shared" ca="1" si="72"/>
        <v>2</v>
      </c>
      <c r="G59" s="163" cm="1">
        <f t="array" aca="1" ref="G59" ca="1">INDEX( 'Enveloppe du bâtiment hors terr'!C:C, $F58)</f>
        <v>0</v>
      </c>
      <c r="H59" s="163" cm="1">
        <f t="array" aca="1" ref="H59" ca="1">INDEX( 'Enveloppe du bâtiment hors terr'!D:D, $F58)</f>
        <v>0</v>
      </c>
      <c r="I59" s="163" cm="1">
        <f t="array" aca="1" ref="I59" ca="1">INDEX( 'Enveloppe du bâtiment hors terr'!G:G, $F58)</f>
        <v>0</v>
      </c>
      <c r="J59" s="163">
        <f ca="1">_xlfn.XLOOKUP($I59,'Baumaterialien Matériaux'!A:A,'Baumaterialien Matériaux'!G:G,0,0)</f>
        <v>0</v>
      </c>
      <c r="K59" s="262">
        <f t="shared" ca="1" si="73"/>
        <v>0</v>
      </c>
      <c r="L59" s="163" cm="1">
        <f t="array" aca="1" ref="L59" ca="1">INDEX( 'Enveloppe du bâtiment hors terr'!J:J, $F58)</f>
        <v>0</v>
      </c>
      <c r="M59" s="1522" cm="1">
        <f t="array" aca="1" ref="M59" ca="1">INDEX( 'Enveloppe du bâtiment hors terr'!H:H, $F58)</f>
        <v>0</v>
      </c>
      <c r="N59" s="1627">
        <f>'Outil détaillé'!E$18</f>
        <v>0</v>
      </c>
      <c r="O59" s="1502" cm="1">
        <f t="array" aca="1" ref="O59" ca="1">IFERROR(INDEX('Enveloppe du bâtiment hors terr'!M:M, $F58)*$K59/$M59,0)/$I$1*(1-0.8*N59)</f>
        <v>0</v>
      </c>
      <c r="P59" s="1416">
        <f t="shared" ca="1" si="68"/>
        <v>0</v>
      </c>
      <c r="Q59" s="1416">
        <f t="shared" ca="1" si="68"/>
        <v>0</v>
      </c>
      <c r="R59" s="256" cm="1">
        <f t="array" aca="1" ref="R59" ca="1">_xlfn.SWITCH(L59,R$3,O59+S59,P$3,P59,0)</f>
        <v>0</v>
      </c>
      <c r="S59" s="1410" cm="1">
        <f t="array" aca="1" ref="S59" ca="1">IFERROR(INDEX('Enveloppe du bâtiment hors terr'!N:N, $F58)*$K59/$M59,0)/$I$1*(1-0.8*N59)</f>
        <v>0</v>
      </c>
      <c r="T59" s="1411">
        <f t="shared" ca="1" si="74"/>
        <v>0</v>
      </c>
      <c r="U59" s="1530" cm="1">
        <f t="array" aca="1" ref="U59" ca="1">IFERROR(INDEX('Enveloppe du bâtiment hors terr'!O:O, $F58)*$K59/$M59,0)/$I$1*(1-0.8*N59)</f>
        <v>0</v>
      </c>
      <c r="V59" s="1502" cm="1">
        <f t="array" aca="1" ref="V59" ca="1">IFERROR(INDEX('Enveloppe du bâtiment hors terr'!K:K, $F58)*$K59/$M59,0)/$I$1*(1-0.8*N59)</f>
        <v>0</v>
      </c>
      <c r="W59" s="1416">
        <f t="shared" ca="1" si="70"/>
        <v>0</v>
      </c>
      <c r="X59" s="1416">
        <f t="shared" ca="1" si="70"/>
        <v>0</v>
      </c>
      <c r="Y59" s="256" cm="1">
        <f t="array" aca="1" ref="Y59" ca="1">_xlfn.SWITCH(T59,Y$3,V59+Z59,W$3,W59,0)</f>
        <v>0</v>
      </c>
      <c r="Z59" s="1410" cm="1">
        <f t="array" aca="1" ref="Z59" ca="1">IFERROR(INDEX('Enveloppe du bâtiment hors terr'!L:L, $F58)*$K59/$M59,0)/$I$1*(1-0.8*N59)</f>
        <v>0</v>
      </c>
      <c r="AA59" s="1460">
        <f t="shared" ca="1" si="75"/>
        <v>0</v>
      </c>
      <c r="AB59" s="1460" cm="1">
        <f t="array" aca="1" ref="AB59" ca="1">INDEX( 'Enveloppe du bâtiment hors terr'!V:V, $F58)</f>
        <v>0</v>
      </c>
    </row>
    <row r="60" spans="2:28" ht="15.75" customHeight="1" outlineLevel="1">
      <c r="B60" s="1871"/>
      <c r="C60" s="1875"/>
      <c r="D60" s="163"/>
      <c r="E60" s="261"/>
      <c r="F60" s="163">
        <f t="shared" ca="1" si="72"/>
        <v>2</v>
      </c>
      <c r="G60" s="163" cm="1">
        <f t="array" aca="1" ref="G60" ca="1">INDEX( 'Enveloppe du bâtiment hors terr'!C:C, $F59)</f>
        <v>0</v>
      </c>
      <c r="H60" s="163" cm="1">
        <f t="array" aca="1" ref="H60" ca="1">INDEX( 'Enveloppe du bâtiment hors terr'!D:D, $F59)</f>
        <v>0</v>
      </c>
      <c r="I60" s="163" cm="1">
        <f t="array" aca="1" ref="I60" ca="1">INDEX( 'Enveloppe du bâtiment hors terr'!G:G, $F59)</f>
        <v>0</v>
      </c>
      <c r="J60" s="163">
        <f ca="1">_xlfn.XLOOKUP($I60,'Baumaterialien Matériaux'!A:A,'Baumaterialien Matériaux'!G:G,0,0)</f>
        <v>0</v>
      </c>
      <c r="K60" s="262">
        <f t="shared" ca="1" si="73"/>
        <v>0</v>
      </c>
      <c r="L60" s="163" cm="1">
        <f t="array" aca="1" ref="L60" ca="1">INDEX( 'Enveloppe du bâtiment hors terr'!J:J, $F59)</f>
        <v>0</v>
      </c>
      <c r="M60" s="1522" cm="1">
        <f t="array" aca="1" ref="M60" ca="1">INDEX( 'Enveloppe du bâtiment hors terr'!H:H, $F59)</f>
        <v>0</v>
      </c>
      <c r="N60" s="1627">
        <f>'Outil détaillé'!E$18</f>
        <v>0</v>
      </c>
      <c r="O60" s="1502" cm="1">
        <f t="array" aca="1" ref="O60" ca="1">IFERROR(INDEX('Enveloppe du bâtiment hors terr'!M:M, $F59)*$K60/$M60,0)/$I$1*(1-0.8*N60)</f>
        <v>0</v>
      </c>
      <c r="P60" s="1416">
        <f t="shared" ca="1" si="68"/>
        <v>0</v>
      </c>
      <c r="Q60" s="1416">
        <f t="shared" ca="1" si="68"/>
        <v>0</v>
      </c>
      <c r="R60" s="256" cm="1">
        <f t="array" aca="1" ref="R60" ca="1">_xlfn.SWITCH(L60,R$3,O60+S60,P$3,P60,0)</f>
        <v>0</v>
      </c>
      <c r="S60" s="1410" cm="1">
        <f t="array" aca="1" ref="S60" ca="1">IFERROR(INDEX('Enveloppe du bâtiment hors terr'!N:N, $F59)*$K60/$M60,0)/$I$1*(1-0.8*N60)</f>
        <v>0</v>
      </c>
      <c r="T60" s="1411">
        <f t="shared" ca="1" si="74"/>
        <v>0</v>
      </c>
      <c r="U60" s="1530" cm="1">
        <f t="array" aca="1" ref="U60" ca="1">IFERROR(INDEX('Enveloppe du bâtiment hors terr'!O:O, $F59)*$K60/$M60,0)/$I$1*(1-0.8*N60)</f>
        <v>0</v>
      </c>
      <c r="V60" s="1502" cm="1">
        <f t="array" aca="1" ref="V60" ca="1">IFERROR(INDEX('Enveloppe du bâtiment hors terr'!K:K, $F59)*$K60/$M60,0)/$I$1*(1-0.8*N60)</f>
        <v>0</v>
      </c>
      <c r="W60" s="1416">
        <f t="shared" ca="1" si="70"/>
        <v>0</v>
      </c>
      <c r="X60" s="1416">
        <f t="shared" ca="1" si="70"/>
        <v>0</v>
      </c>
      <c r="Y60" s="256" cm="1">
        <f t="array" aca="1" ref="Y60" ca="1">_xlfn.SWITCH(T60,Y$3,V60+Z60,W$3,W60,0)</f>
        <v>0</v>
      </c>
      <c r="Z60" s="1410" cm="1">
        <f t="array" aca="1" ref="Z60" ca="1">IFERROR(INDEX('Enveloppe du bâtiment hors terr'!L:L, $F59)*$K60/$M60,0)/$I$1*(1-0.8*N60)</f>
        <v>0</v>
      </c>
      <c r="AA60" s="1460">
        <f t="shared" ca="1" si="75"/>
        <v>0</v>
      </c>
      <c r="AB60" s="1460" cm="1">
        <f t="array" aca="1" ref="AB60" ca="1">INDEX( 'Enveloppe du bâtiment hors terr'!V:V, $F59)</f>
        <v>0</v>
      </c>
    </row>
    <row r="61" spans="2:28" ht="15.75">
      <c r="B61" s="1871"/>
      <c r="C61" s="1873" t="str">
        <f>'Outil détaillé'!C19</f>
        <v>E02</v>
      </c>
      <c r="D61" s="162" t="str">
        <f>'Outil détaillé'!D19</f>
        <v>Revetements extérieurs de facades</v>
      </c>
      <c r="E61" s="264"/>
      <c r="F61" s="162">
        <f>MATCH(D61, 'Enveloppe du bâtiment hors terr'!B:B,0)</f>
        <v>25</v>
      </c>
      <c r="G61" s="162"/>
      <c r="H61" s="162"/>
      <c r="I61" s="162"/>
      <c r="J61" s="162"/>
      <c r="K61" s="264"/>
      <c r="L61" s="264"/>
      <c r="M61" s="1523"/>
      <c r="N61" s="1628"/>
      <c r="O61" s="1503">
        <f ca="1">O62+O71</f>
        <v>22.882873800000002</v>
      </c>
      <c r="P61" s="1504">
        <f t="shared" ref="P61:T61" ca="1" si="76">P62+P71</f>
        <v>0</v>
      </c>
      <c r="Q61" s="1504">
        <f t="shared" ca="1" si="76"/>
        <v>0</v>
      </c>
      <c r="R61" s="1504">
        <f t="shared" ca="1" si="76"/>
        <v>26.048189894120004</v>
      </c>
      <c r="S61" s="1504">
        <f t="shared" ca="1" si="76"/>
        <v>3.16531609412</v>
      </c>
      <c r="T61" s="1504">
        <f t="shared" ca="1" si="76"/>
        <v>52.09637978824</v>
      </c>
      <c r="U61" s="1505">
        <f ca="1">U62+U71</f>
        <v>29.804695799999998</v>
      </c>
      <c r="V61" s="1503">
        <f ca="1">V62+V71</f>
        <v>100.0285236</v>
      </c>
      <c r="W61" s="1504">
        <f t="shared" ref="W61:Z61" ca="1" si="77">W62+W71</f>
        <v>0</v>
      </c>
      <c r="X61" s="1504">
        <f t="shared" ca="1" si="77"/>
        <v>0</v>
      </c>
      <c r="Y61" s="1504">
        <f t="shared" ca="1" si="77"/>
        <v>0</v>
      </c>
      <c r="Z61" s="1504">
        <f t="shared" ca="1" si="77"/>
        <v>3.8204772928000006</v>
      </c>
      <c r="AA61" s="1505">
        <f t="shared" ref="AA61" ca="1" si="78">AA62+AA71</f>
        <v>103.84900089280001</v>
      </c>
      <c r="AB61" s="1505"/>
    </row>
    <row r="62" spans="2:28" ht="15.75">
      <c r="B62" s="1871"/>
      <c r="C62" s="1874"/>
      <c r="D62" s="163" t="str">
        <f>'Outil détaillé'!D20</f>
        <v>Façade revêtement extérieur</v>
      </c>
      <c r="E62" s="164" t="str">
        <f>'Outil détaillé'!F20</f>
        <v>Revêtement bois ventilé</v>
      </c>
      <c r="F62" s="164">
        <f ca="1">MATCH(E62, INDIRECT("'Enveloppe du bâtiment hors terr'!A"&amp;F61+1&amp;":A500"),0)+F61</f>
        <v>35</v>
      </c>
      <c r="G62" s="164"/>
      <c r="H62" s="164"/>
      <c r="I62" s="164"/>
      <c r="J62" s="164" t="s">
        <v>87</v>
      </c>
      <c r="K62" s="270">
        <f>'Outil détaillé'!K20</f>
        <v>217.6</v>
      </c>
      <c r="L62" s="271"/>
      <c r="M62" s="1467"/>
      <c r="N62" s="1623"/>
      <c r="O62" s="1488">
        <f ca="1">SUM(O63:O70)</f>
        <v>12.011142600000001</v>
      </c>
      <c r="P62" s="1489">
        <f t="shared" ref="P62:U62" ca="1" si="79">SUM(P63:P70)</f>
        <v>0</v>
      </c>
      <c r="Q62" s="1489">
        <f t="shared" ca="1" si="79"/>
        <v>0</v>
      </c>
      <c r="R62" s="1489">
        <f t="shared" ca="1" si="79"/>
        <v>14.326251974120002</v>
      </c>
      <c r="S62" s="1489">
        <f t="shared" ca="1" si="79"/>
        <v>2.31510937412</v>
      </c>
      <c r="T62" s="1489">
        <f t="shared" ca="1" si="79"/>
        <v>28.652503948240003</v>
      </c>
      <c r="U62" s="1490">
        <f t="shared" ca="1" si="79"/>
        <v>29.804695799999998</v>
      </c>
      <c r="V62" s="1488">
        <f ca="1">SUM(V63:V70)</f>
        <v>55.50756359999999</v>
      </c>
      <c r="W62" s="1489">
        <f t="shared" ref="W62:Z62" ca="1" si="80">SUM(W63:W70)</f>
        <v>0</v>
      </c>
      <c r="X62" s="1489">
        <f t="shared" ca="1" si="80"/>
        <v>0</v>
      </c>
      <c r="Y62" s="1489">
        <f t="shared" ca="1" si="80"/>
        <v>0</v>
      </c>
      <c r="Z62" s="1489">
        <f t="shared" ca="1" si="80"/>
        <v>1.9103844928</v>
      </c>
      <c r="AA62" s="1490">
        <f t="shared" ref="AA62" ca="1" si="81">SUM(AA63:AA70)</f>
        <v>57.417948092799989</v>
      </c>
      <c r="AB62" s="1490"/>
    </row>
    <row r="63" spans="2:28" ht="15.75" customHeight="1" outlineLevel="1">
      <c r="B63" s="1871"/>
      <c r="C63" s="1874"/>
      <c r="D63" s="163"/>
      <c r="E63" s="163"/>
      <c r="F63" s="163">
        <f ca="1">IF(I63=0,2,F62+1)</f>
        <v>36</v>
      </c>
      <c r="G63" s="163" t="str" cm="1">
        <f t="array" aca="1" ref="G63" ca="1">INDEX( 'Enveloppe du bâtiment hors terr'!C:C, $F62)</f>
        <v>Holzschalung mit Nut und Kamm [kg]</v>
      </c>
      <c r="H63" s="163" t="str" cm="1">
        <f t="array" aca="1" ref="H63" ca="1">INDEX( 'Enveloppe du bâtiment hors terr'!D:D, $F62)</f>
        <v>Bois massif épicéa / sapin / mélèze, séché en cellule, raboté</v>
      </c>
      <c r="I63" s="163" t="str" cm="1">
        <f t="array" aca="1" ref="I63" ca="1">INDEX( 'Enveloppe du bâtiment hors terr'!G:G, $F62)</f>
        <v>07.011</v>
      </c>
      <c r="J63" s="163" t="str">
        <f ca="1">_xlfn.XLOOKUP($I63,'Baumaterialien Matériaux'!A:A,'Baumaterialien Matériaux'!G:G,0,0)</f>
        <v>kg</v>
      </c>
      <c r="K63" s="262">
        <f ca="1">M63*$K$62</f>
        <v>2883.7440000000001</v>
      </c>
      <c r="L63" s="163" cm="1">
        <f t="array" aca="1" ref="L63" ca="1">INDEX( 'Enveloppe du bâtiment hors terr'!J:J, $F62)</f>
        <v>40</v>
      </c>
      <c r="M63" s="1522" cm="1">
        <f t="array" aca="1" ref="M63" ca="1">INDEX( 'Enveloppe du bâtiment hors terr'!H:H, $F62)</f>
        <v>13.252500000000001</v>
      </c>
      <c r="N63" s="1627">
        <f>'Outil détaillé'!E$20</f>
        <v>0</v>
      </c>
      <c r="O63" s="1502" cm="1">
        <f t="array" aca="1" ref="O63" ca="1">IFERROR(INDEX('Enveloppe du bâtiment hors terr'!M:M, $F62)*$K63/$M63,0)/$I$1*(1-0.8*N63)</f>
        <v>2.4151356000000002</v>
      </c>
      <c r="P63" s="1416">
        <f t="shared" ref="P63:Q74" ca="1" si="82">IF($L63=P$3,$O63+$S63,0)</f>
        <v>0</v>
      </c>
      <c r="Q63" s="1416">
        <f t="shared" ca="1" si="82"/>
        <v>0</v>
      </c>
      <c r="R63" s="256" cm="1">
        <f t="array" aca="1" ref="R63" ca="1">_xlfn.SWITCH(L63,R$3,O63+S63,P$3,P63,0)</f>
        <v>3.1180482</v>
      </c>
      <c r="S63" s="1410" cm="1">
        <f t="array" aca="1" ref="S63" ca="1">IFERROR(INDEX('Enveloppe du bâtiment hors terr'!N:N, $F62)*$K63/$M63,0)/$I$1*(1-0.8*N63)</f>
        <v>0.7029126</v>
      </c>
      <c r="T63" s="1411">
        <f t="shared" ref="T63:T68" ca="1" si="83">SUM(O63:S63)</f>
        <v>6.2360964000000001</v>
      </c>
      <c r="U63" s="1530" cm="1">
        <f t="array" aca="1" ref="U63" ca="1">IFERROR(INDEX('Enveloppe du bâtiment hors terr'!O:O, $F62)*$K63/$M63,0)/$I$1*(1-0.8*N63)</f>
        <v>29.804695799999998</v>
      </c>
      <c r="V63" s="1502" cm="1">
        <f t="array" aca="1" ref="V63" ca="1">IFERROR(INDEX('Enveloppe du bâtiment hors terr'!K:K, $F62)*$K63/$M63,0)/$I$1*(1-0.8*N63)</f>
        <v>12.4000992</v>
      </c>
      <c r="W63" s="1416">
        <f t="shared" ref="W63:X74" ca="1" si="84">IF($L63=W$3,$V63+$Z63,0)</f>
        <v>0</v>
      </c>
      <c r="X63" s="1416">
        <f t="shared" ca="1" si="84"/>
        <v>0</v>
      </c>
      <c r="Y63" s="256" cm="1">
        <f t="array" aca="1" ref="Y63" ca="1">_xlfn.SWITCH(T63,Y$3,V63+Z63,W$3,W63,0)</f>
        <v>0</v>
      </c>
      <c r="Z63" s="1410" cm="1">
        <f t="array" aca="1" ref="Z63" ca="1">IFERROR(INDEX('Enveloppe du bâtiment hors terr'!L:L, $F62)*$K63/$M63,0)/$I$1*(1-0.8*N63)</f>
        <v>1.6004779200000001</v>
      </c>
      <c r="AA63" s="1460">
        <f t="shared" ref="AA63:AA68" ca="1" si="85">SUM(V63:Z63)</f>
        <v>14.000577119999999</v>
      </c>
      <c r="AB63" s="1460"/>
    </row>
    <row r="64" spans="2:28" ht="15.75" customHeight="1" outlineLevel="1">
      <c r="B64" s="1871"/>
      <c r="C64" s="1874"/>
      <c r="D64" s="163"/>
      <c r="E64" s="163"/>
      <c r="F64" s="163">
        <f t="shared" ref="F64:F70" ca="1" si="86">IF(I64=0,2,F63+1)</f>
        <v>37</v>
      </c>
      <c r="G64" s="163" t="str" cm="1">
        <f t="array" aca="1" ref="G64" ca="1">INDEX( 'Enveloppe du bâtiment hors terr'!C:C, $F63)</f>
        <v>Vergrauungslasur [m2]</v>
      </c>
      <c r="H64" s="163" t="str" cm="1">
        <f t="array" aca="1" ref="H64" ca="1">INDEX( 'Enveloppe du bâtiment hors terr'!D:D, $F63)</f>
        <v>Enduit, diluable à l'eau, 2 couches</v>
      </c>
      <c r="I64" s="163" t="str" cm="1">
        <f t="array" aca="1" ref="I64" ca="1">INDEX( 'Enveloppe du bâtiment hors terr'!G:G, $F63)</f>
        <v>14.001</v>
      </c>
      <c r="J64" s="163" t="str">
        <f ca="1">_xlfn.XLOOKUP($I64,'Baumaterialien Matériaux'!A:A,'Baumaterialien Matériaux'!G:G,0,0)</f>
        <v>m2</v>
      </c>
      <c r="K64" s="262">
        <f t="shared" ref="K64:K70" ca="1" si="87">M64*$K$62</f>
        <v>217.6</v>
      </c>
      <c r="L64" s="163" cm="1">
        <f t="array" aca="1" ref="L64" ca="1">INDEX( 'Enveloppe du bâtiment hors terr'!J:J, $F63)</f>
        <v>40</v>
      </c>
      <c r="M64" s="1522" cm="1">
        <f t="array" aca="1" ref="M64" ca="1">INDEX( 'Enveloppe du bâtiment hors terr'!H:H, $F63)</f>
        <v>1</v>
      </c>
      <c r="N64" s="1627">
        <f>'Outil détaillé'!E$20</f>
        <v>0</v>
      </c>
      <c r="O64" s="1502" cm="1">
        <f t="array" aca="1" ref="O64" ca="1">IFERROR(INDEX('Enveloppe du bâtiment hors terr'!M:M, $F63)*$K64/$M64,0)/$I$1*(1-0.8*N64)</f>
        <v>0.87719999999999998</v>
      </c>
      <c r="P64" s="1416">
        <f t="shared" ca="1" si="82"/>
        <v>0</v>
      </c>
      <c r="Q64" s="1416">
        <f t="shared" ca="1" si="82"/>
        <v>0</v>
      </c>
      <c r="R64" s="256" cm="1">
        <f t="array" aca="1" ref="R64" ca="1">_xlfn.SWITCH(L64,R$3,O64+S64,P$3,P64,0)</f>
        <v>0.95363200000000004</v>
      </c>
      <c r="S64" s="1410" cm="1">
        <f t="array" aca="1" ref="S64" ca="1">IFERROR(INDEX('Enveloppe du bâtiment hors terr'!N:N, $F63)*$K64/$M64,0)/$I$1*(1-0.8*N64)</f>
        <v>7.6432E-2</v>
      </c>
      <c r="T64" s="1411">
        <f t="shared" ca="1" si="83"/>
        <v>1.9072640000000001</v>
      </c>
      <c r="U64" s="1530" cm="1">
        <f t="array" aca="1" ref="U64" ca="1">IFERROR(INDEX('Enveloppe du bâtiment hors terr'!O:O, $F63)*$K64/$M64,0)/$I$1*(1-0.8*N64)</f>
        <v>0</v>
      </c>
      <c r="V64" s="1502" cm="1">
        <f t="array" aca="1" ref="V64" ca="1">IFERROR(INDEX('Enveloppe du bâtiment hors terr'!K:K, $F63)*$K64/$M64,0)/$I$1*(1-0.8*N64)</f>
        <v>5.6440000000000001</v>
      </c>
      <c r="W64" s="1416">
        <f t="shared" ca="1" si="84"/>
        <v>0</v>
      </c>
      <c r="X64" s="1416">
        <f t="shared" ca="1" si="84"/>
        <v>0</v>
      </c>
      <c r="Y64" s="256" cm="1">
        <f t="array" aca="1" ref="Y64" ca="1">_xlfn.SWITCH(T64,Y$3,V64+Z64,W$3,W64,0)</f>
        <v>0</v>
      </c>
      <c r="Z64" s="1410" cm="1">
        <f t="array" aca="1" ref="Z64" ca="1">IFERROR(INDEX('Enveloppe du bâtiment hors terr'!L:L, $F63)*$K64/$M64,0)/$I$1*(1-0.8*N64)</f>
        <v>2.2712E-2</v>
      </c>
      <c r="AA64" s="1460">
        <f t="shared" ca="1" si="85"/>
        <v>5.6667120000000004</v>
      </c>
      <c r="AB64" s="1460"/>
    </row>
    <row r="65" spans="2:28" ht="15.75" customHeight="1" outlineLevel="1">
      <c r="B65" s="1871"/>
      <c r="C65" s="1874"/>
      <c r="D65" s="163"/>
      <c r="E65" s="163"/>
      <c r="F65" s="163">
        <f t="shared" ca="1" si="86"/>
        <v>38</v>
      </c>
      <c r="G65" s="163" t="str" cm="1">
        <f t="array" aca="1" ref="G65" ca="1">INDEX( 'Enveloppe du bâtiment hors terr'!C:C, $F64)</f>
        <v>Chromstahl 18/8 (Rogger Dübel), 3.5 Stk./m2 [kg]</v>
      </c>
      <c r="H65" s="163" t="str" cm="1">
        <f t="array" aca="1" ref="H65" ca="1">INDEX( 'Enveloppe du bâtiment hors terr'!D:D, $F64)</f>
        <v>Tôle d'acier nickel-chrome 18/8, nue</v>
      </c>
      <c r="I65" s="163" t="str" cm="1">
        <f t="array" aca="1" ref="I65" ca="1">INDEX( 'Enveloppe du bâtiment hors terr'!G:G, $F64)</f>
        <v>06.004</v>
      </c>
      <c r="J65" s="163" t="str">
        <f ca="1">_xlfn.XLOOKUP($I65,'Baumaterialien Matériaux'!A:A,'Baumaterialien Matériaux'!G:G,0,0)</f>
        <v>kg</v>
      </c>
      <c r="K65" s="262">
        <f t="shared" ca="1" si="87"/>
        <v>80.653439999999989</v>
      </c>
      <c r="L65" s="163" cm="1">
        <f t="array" aca="1" ref="L65" ca="1">INDEX( 'Enveloppe du bâtiment hors terr'!J:J, $F64)</f>
        <v>40</v>
      </c>
      <c r="M65" s="1522" cm="1">
        <f t="array" aca="1" ref="M65" ca="1">INDEX( 'Enveloppe du bâtiment hors terr'!H:H, $F64)</f>
        <v>0.37064999999999998</v>
      </c>
      <c r="N65" s="1627">
        <f>'Outil détaillé'!E$20</f>
        <v>0</v>
      </c>
      <c r="O65" s="1502" cm="1">
        <f t="array" aca="1" ref="O65" ca="1">IFERROR(INDEX('Enveloppe du bâtiment hors terr'!M:M, $F64)*$K65/$M65,0)/$I$1*(1-0.8*N65)</f>
        <v>2.0717852400000001</v>
      </c>
      <c r="P65" s="1416">
        <f t="shared" ca="1" si="82"/>
        <v>0</v>
      </c>
      <c r="Q65" s="1416">
        <f t="shared" ca="1" si="82"/>
        <v>0</v>
      </c>
      <c r="R65" s="256" cm="1">
        <f t="array" aca="1" ref="R65" ca="1">_xlfn.SWITCH(L65,R$3,O65+S65,P$3,P65,0)</f>
        <v>2.07527854212</v>
      </c>
      <c r="S65" s="1410" cm="1">
        <f t="array" aca="1" ref="S65" ca="1">IFERROR(INDEX('Enveloppe du bâtiment hors terr'!N:N, $F64)*$K65/$M65,0)/$I$1*(1-0.8*N65)</f>
        <v>3.4933021199999997E-3</v>
      </c>
      <c r="T65" s="1411">
        <f t="shared" ca="1" si="83"/>
        <v>4.1505570842399999</v>
      </c>
      <c r="U65" s="1530" cm="1">
        <f t="array" aca="1" ref="U65" ca="1">IFERROR(INDEX('Enveloppe du bâtiment hors terr'!O:O, $F64)*$K65/$M65,0)/$I$1*(1-0.8*N65)</f>
        <v>0</v>
      </c>
      <c r="V65" s="1502" cm="1">
        <f t="array" aca="1" ref="V65" ca="1">IFERROR(INDEX('Enveloppe du bâtiment hors terr'!K:K, $F64)*$K65/$M65,0)/$I$1*(1-0.8*N65)</f>
        <v>7.3092179999999987</v>
      </c>
      <c r="W65" s="1416">
        <f t="shared" ca="1" si="84"/>
        <v>0</v>
      </c>
      <c r="X65" s="1416">
        <f t="shared" ca="1" si="84"/>
        <v>0</v>
      </c>
      <c r="Y65" s="256" cm="1">
        <f t="array" aca="1" ref="Y65" ca="1">_xlfn.SWITCH(T65,Y$3,V65+Z65,W$3,W65,0)</f>
        <v>0</v>
      </c>
      <c r="Z65" s="1410" cm="1">
        <f t="array" aca="1" ref="Z65" ca="1">IFERROR(INDEX('Enveloppe du bâtiment hors terr'!L:L, $F64)*$K65/$M65,0)/$I$1*(1-0.8*N65)</f>
        <v>1.3711084799999999E-2</v>
      </c>
      <c r="AA65" s="1460">
        <f t="shared" ca="1" si="85"/>
        <v>7.3229290847999984</v>
      </c>
      <c r="AB65" s="1460"/>
    </row>
    <row r="66" spans="2:28" ht="15.75" customHeight="1" outlineLevel="1">
      <c r="B66" s="1871"/>
      <c r="C66" s="1874"/>
      <c r="D66" s="163"/>
      <c r="E66" s="163"/>
      <c r="F66" s="163">
        <f t="shared" ca="1" si="86"/>
        <v>39</v>
      </c>
      <c r="G66" s="163" t="str" cm="1">
        <f t="array" aca="1" ref="G66" ca="1">INDEX( 'Enveloppe du bâtiment hors terr'!C:C, $F65)</f>
        <v>Polyamid glasfaserverstärkt (Rogger Dübel) [kg]</v>
      </c>
      <c r="H66" s="163" t="str" cm="1">
        <f t="array" aca="1" ref="H66" ca="1">INDEX( 'Enveloppe du bâtiment hors terr'!D:D, $F65)</f>
        <v xml:space="preserve">Polyamide (PA) renforcé par des fibres de verre </v>
      </c>
      <c r="I66" s="163" t="str" cm="1">
        <f t="array" aca="1" ref="I66" ca="1">INDEX( 'Enveloppe du bâtiment hors terr'!G:G, $F65)</f>
        <v>15.002</v>
      </c>
      <c r="J66" s="163" t="str">
        <f ca="1">_xlfn.XLOOKUP($I66,'Baumaterialien Matériaux'!A:A,'Baumaterialien Matériaux'!G:G,0,0)</f>
        <v>kg</v>
      </c>
      <c r="K66" s="262">
        <f t="shared" ca="1" si="87"/>
        <v>18.36544</v>
      </c>
      <c r="L66" s="163" cm="1">
        <f t="array" aca="1" ref="L66" ca="1">INDEX( 'Enveloppe du bâtiment hors terr'!J:J, $F65)</f>
        <v>40</v>
      </c>
      <c r="M66" s="1522" cm="1">
        <f t="array" aca="1" ref="M66" ca="1">INDEX( 'Enveloppe du bâtiment hors terr'!H:H, $F65)</f>
        <v>8.4400000000000003E-2</v>
      </c>
      <c r="N66" s="1627">
        <f>'Outil détaillé'!E$20</f>
        <v>0</v>
      </c>
      <c r="O66" s="1502" cm="1">
        <f t="array" aca="1" ref="O66" ca="1">IFERROR(INDEX('Enveloppe du bâtiment hors terr'!M:M, $F65)*$K66/$M66,0)/$I$1*(1-0.8*N66)</f>
        <v>1.0204297600000003</v>
      </c>
      <c r="P66" s="1416">
        <f t="shared" ca="1" si="82"/>
        <v>0</v>
      </c>
      <c r="Q66" s="1416">
        <f t="shared" ca="1" si="82"/>
        <v>0</v>
      </c>
      <c r="R66" s="256" cm="1">
        <f t="array" aca="1" ref="R66" ca="1">_xlfn.SWITCH(L66,R$3,O66+S66,P$3,P66,0)</f>
        <v>1.3211638400000003</v>
      </c>
      <c r="S66" s="1410" cm="1">
        <f t="array" aca="1" ref="S66" ca="1">IFERROR(INDEX('Enveloppe du bâtiment hors terr'!N:N, $F65)*$K66/$M66,0)/$I$1*(1-0.8*N66)</f>
        <v>0.30073408000000001</v>
      </c>
      <c r="T66" s="1411">
        <f t="shared" ca="1" si="83"/>
        <v>2.6423276800000002</v>
      </c>
      <c r="U66" s="1530" cm="1">
        <f t="array" aca="1" ref="U66" ca="1">IFERROR(INDEX('Enveloppe du bâtiment hors terr'!O:O, $F65)*$K66/$M66,0)/$I$1*(1-0.8*N66)</f>
        <v>0</v>
      </c>
      <c r="V66" s="1502" cm="1">
        <f t="array" aca="1" ref="V66" ca="1">IFERROR(INDEX('Enveloppe du bâtiment hors terr'!K:K, $F65)*$K66/$M66,0)/$I$1*(1-0.8*N66)</f>
        <v>4.5454464000000003</v>
      </c>
      <c r="W66" s="1416">
        <f t="shared" ca="1" si="84"/>
        <v>0</v>
      </c>
      <c r="X66" s="1416">
        <f t="shared" ca="1" si="84"/>
        <v>0</v>
      </c>
      <c r="Y66" s="256" cm="1">
        <f t="array" aca="1" ref="Y66" ca="1">_xlfn.SWITCH(T66,Y$3,V66+Z66,W$3,W66,0)</f>
        <v>0</v>
      </c>
      <c r="Z66" s="1410" cm="1">
        <f t="array" aca="1" ref="Z66" ca="1">IFERROR(INDEX('Enveloppe du bâtiment hors terr'!L:L, $F65)*$K66/$M66,0)/$I$1*(1-0.8*N66)</f>
        <v>7.8856608000000009E-2</v>
      </c>
      <c r="AA66" s="1460">
        <f t="shared" ca="1" si="85"/>
        <v>4.624303008</v>
      </c>
      <c r="AB66" s="1460"/>
    </row>
    <row r="67" spans="2:28" ht="15.75" customHeight="1" outlineLevel="1">
      <c r="B67" s="1871"/>
      <c r="C67" s="1874"/>
      <c r="D67" s="163"/>
      <c r="E67" s="163"/>
      <c r="F67" s="163">
        <f t="shared" ca="1" si="86"/>
        <v>40</v>
      </c>
      <c r="G67" s="163" t="str" cm="1">
        <f t="array" aca="1" ref="G67" ca="1">INDEX( 'Enveloppe du bâtiment hors terr'!C:C, $F66)</f>
        <v>Stahlprofile verzinkt [kg]</v>
      </c>
      <c r="H67" s="163" t="str" cm="1">
        <f t="array" aca="1" ref="H67" ca="1">INDEX( 'Enveloppe du bâtiment hors terr'!D:D, $F66)</f>
        <v>Tôle d'acier, zinguée</v>
      </c>
      <c r="I67" s="163" t="str" cm="1">
        <f t="array" aca="1" ref="I67" ca="1">INDEX( 'Enveloppe du bâtiment hors terr'!G:G, $F66)</f>
        <v>06.011</v>
      </c>
      <c r="J67" s="163" t="str">
        <f ca="1">_xlfn.XLOOKUP($I67,'Baumaterialien Matériaux'!A:A,'Baumaterialien Matériaux'!G:G,0,0)</f>
        <v>kg</v>
      </c>
      <c r="K67" s="262">
        <f t="shared" ca="1" si="87"/>
        <v>117.504</v>
      </c>
      <c r="L67" s="163" cm="1">
        <f t="array" aca="1" ref="L67" ca="1">INDEX( 'Enveloppe du bâtiment hors terr'!J:J, $F66)</f>
        <v>40</v>
      </c>
      <c r="M67" s="1522" cm="1">
        <f t="array" aca="1" ref="M67" ca="1">INDEX( 'Enveloppe du bâtiment hors terr'!H:H, $F66)</f>
        <v>0.54</v>
      </c>
      <c r="N67" s="1627">
        <f>'Outil détaillé'!E$20</f>
        <v>0</v>
      </c>
      <c r="O67" s="1502" cm="1">
        <f t="array" aca="1" ref="O67" ca="1">IFERROR(INDEX('Enveloppe du bâtiment hors terr'!M:M, $F66)*$K67/$M67,0)/$I$1*(1-0.8*N67)</f>
        <v>3.2901120000000006</v>
      </c>
      <c r="P67" s="1416">
        <f t="shared" ca="1" si="82"/>
        <v>0</v>
      </c>
      <c r="Q67" s="1416">
        <f t="shared" ca="1" si="82"/>
        <v>0</v>
      </c>
      <c r="R67" s="256" cm="1">
        <f t="array" aca="1" ref="R67" ca="1">_xlfn.SWITCH(L67,R$3,O67+S67,P$3,P67,0)</f>
        <v>3.2952013920000005</v>
      </c>
      <c r="S67" s="1410" cm="1">
        <f t="array" aca="1" ref="S67" ca="1">IFERROR(INDEX('Enveloppe du bâtiment hors terr'!N:N, $F66)*$K67/$M67,0)/$I$1*(1-0.8*N67)</f>
        <v>5.0893919999999999E-3</v>
      </c>
      <c r="T67" s="1411">
        <f t="shared" ca="1" si="83"/>
        <v>6.5904027840000019</v>
      </c>
      <c r="U67" s="1530" cm="1">
        <f t="array" aca="1" ref="U67" ca="1">IFERROR(INDEX('Enveloppe du bâtiment hors terr'!O:O, $F66)*$K67/$M67,0)/$I$1*(1-0.8*N67)</f>
        <v>0</v>
      </c>
      <c r="V67" s="1502" cm="1">
        <f t="array" aca="1" ref="V67" ca="1">IFERROR(INDEX('Enveloppe du bâtiment hors terr'!K:K, $F66)*$K67/$M67,0)/$I$1*(1-0.8*N67)</f>
        <v>11.456639999999998</v>
      </c>
      <c r="W67" s="1416">
        <f t="shared" ca="1" si="84"/>
        <v>0</v>
      </c>
      <c r="X67" s="1416">
        <f t="shared" ca="1" si="84"/>
        <v>0</v>
      </c>
      <c r="Y67" s="256" cm="1">
        <f t="array" aca="1" ref="Y67" ca="1">_xlfn.SWITCH(T67,Y$3,V67+Z67,W$3,W67,0)</f>
        <v>0</v>
      </c>
      <c r="Z67" s="1410" cm="1">
        <f t="array" aca="1" ref="Z67" ca="1">IFERROR(INDEX('Enveloppe du bâtiment hors terr'!L:L, $F66)*$K67/$M67,0)/$I$1*(1-0.8*N67)</f>
        <v>1.9975679999999999E-2</v>
      </c>
      <c r="AA67" s="1460">
        <f t="shared" ca="1" si="85"/>
        <v>11.476615679999998</v>
      </c>
      <c r="AB67" s="1460"/>
    </row>
    <row r="68" spans="2:28" ht="15.75" customHeight="1" outlineLevel="1">
      <c r="B68" s="1871"/>
      <c r="C68" s="1874"/>
      <c r="D68" s="163"/>
      <c r="E68" s="163"/>
      <c r="F68" s="163">
        <f t="shared" ca="1" si="86"/>
        <v>41</v>
      </c>
      <c r="G68" s="163" t="str" cm="1">
        <f t="array" aca="1" ref="G68" ca="1">INDEX( 'Enveloppe du bâtiment hors terr'!C:C, $F67)</f>
        <v>Dämmstoffdübel (3 Stk. à 40 g pro m2) [kg]</v>
      </c>
      <c r="H68" s="163" t="str" cm="1">
        <f t="array" aca="1" ref="H68" ca="1">INDEX( 'Enveloppe du bâtiment hors terr'!D:D, $F67)</f>
        <v xml:space="preserve">Polyamide (PA) renforcé par des fibres de verre </v>
      </c>
      <c r="I68" s="163" t="str" cm="1">
        <f t="array" aca="1" ref="I68" ca="1">INDEX( 'Enveloppe du bâtiment hors terr'!G:G, $F67)</f>
        <v>15.002</v>
      </c>
      <c r="J68" s="163" t="str">
        <f ca="1">_xlfn.XLOOKUP($I68,'Baumaterialien Matériaux'!A:A,'Baumaterialien Matériaux'!G:G,0,0)</f>
        <v>kg</v>
      </c>
      <c r="K68" s="262">
        <f t="shared" ca="1" si="87"/>
        <v>26.111999999999998</v>
      </c>
      <c r="L68" s="163" cm="1">
        <f t="array" aca="1" ref="L68" ca="1">INDEX( 'Enveloppe du bâtiment hors terr'!J:J, $F67)</f>
        <v>40</v>
      </c>
      <c r="M68" s="1522" cm="1">
        <f t="array" aca="1" ref="M68" ca="1">INDEX( 'Enveloppe du bâtiment hors terr'!H:H, $F67)</f>
        <v>0.12</v>
      </c>
      <c r="N68" s="1627">
        <f>'Outil détaillé'!E$20</f>
        <v>0</v>
      </c>
      <c r="O68" s="1502" cm="1">
        <f t="array" aca="1" ref="O68" ca="1">IFERROR(INDEX('Enveloppe du bâtiment hors terr'!M:M, $F67)*$K68/$M68,0)/$I$1*(1-0.8*N68)</f>
        <v>1.4508480000000001</v>
      </c>
      <c r="P68" s="1416">
        <f t="shared" ca="1" si="82"/>
        <v>0</v>
      </c>
      <c r="Q68" s="1416">
        <f t="shared" ca="1" si="82"/>
        <v>0</v>
      </c>
      <c r="R68" s="256" cm="1">
        <f t="array" aca="1" ref="R68" ca="1">_xlfn.SWITCH(L68,R$3,O68+S68,P$3,P68,0)</f>
        <v>1.8784320000000001</v>
      </c>
      <c r="S68" s="1410" cm="1">
        <f t="array" aca="1" ref="S68" ca="1">IFERROR(INDEX('Enveloppe du bâtiment hors terr'!N:N, $F67)*$K68/$M68,0)/$I$1*(1-0.8*N68)</f>
        <v>0.42758400000000008</v>
      </c>
      <c r="T68" s="1411">
        <f t="shared" ca="1" si="83"/>
        <v>3.7568640000000002</v>
      </c>
      <c r="U68" s="1530" cm="1">
        <f t="array" aca="1" ref="U68" ca="1">IFERROR(INDEX('Enveloppe du bâtiment hors terr'!O:O, $F67)*$K68/$M68,0)/$I$1*(1-0.8*N68)</f>
        <v>0</v>
      </c>
      <c r="V68" s="1502" cm="1">
        <f t="array" aca="1" ref="V68" ca="1">IFERROR(INDEX('Enveloppe du bâtiment hors terr'!K:K, $F67)*$K68/$M68,0)/$I$1*(1-0.8*N68)</f>
        <v>6.46272</v>
      </c>
      <c r="W68" s="1416">
        <f t="shared" ca="1" si="84"/>
        <v>0</v>
      </c>
      <c r="X68" s="1416">
        <f t="shared" ca="1" si="84"/>
        <v>0</v>
      </c>
      <c r="Y68" s="256" cm="1">
        <f t="array" aca="1" ref="Y68" ca="1">_xlfn.SWITCH(T68,Y$3,V68+Z68,W$3,W68,0)</f>
        <v>0</v>
      </c>
      <c r="Z68" s="1410" cm="1">
        <f t="array" aca="1" ref="Z68" ca="1">IFERROR(INDEX('Enveloppe du bâtiment hors terr'!L:L, $F67)*$K68/$M68,0)/$I$1*(1-0.8*N68)</f>
        <v>0.11211839999999999</v>
      </c>
      <c r="AA68" s="1460">
        <f t="shared" ca="1" si="85"/>
        <v>6.5748384</v>
      </c>
      <c r="AB68" s="1460"/>
    </row>
    <row r="69" spans="2:28" ht="15.75" customHeight="1" outlineLevel="1">
      <c r="B69" s="1871"/>
      <c r="C69" s="1874"/>
      <c r="D69" s="163"/>
      <c r="E69" s="163"/>
      <c r="F69" s="163">
        <f t="shared" ca="1" si="86"/>
        <v>42</v>
      </c>
      <c r="G69" s="163" t="str" cm="1">
        <f t="array" aca="1" ref="G69" ca="1">INDEX( 'Enveloppe du bâtiment hors terr'!C:C, $F68)</f>
        <v>Winpapier (PE Spinnvlies) [kg]</v>
      </c>
      <c r="H69" s="163" t="str" cm="1">
        <f t="array" aca="1" ref="H69" ca="1">INDEX( 'Enveloppe du bâtiment hors terr'!D:D, $F68)</f>
        <v>Voile de polyéthylène (PE)</v>
      </c>
      <c r="I69" s="163" t="str" cm="1">
        <f t="array" aca="1" ref="I69" ca="1">INDEX( 'Enveloppe du bâtiment hors terr'!G:G, $F68)</f>
        <v>09.008</v>
      </c>
      <c r="J69" s="163" t="str">
        <f ca="1">_xlfn.XLOOKUP($I69,'Baumaterialien Matériaux'!A:A,'Baumaterialien Matériaux'!G:G,0,0)</f>
        <v>kg</v>
      </c>
      <c r="K69" s="262">
        <f t="shared" ca="1" si="87"/>
        <v>47.872</v>
      </c>
      <c r="L69" s="163" cm="1">
        <f t="array" aca="1" ref="L69" ca="1">INDEX( 'Enveloppe du bâtiment hors terr'!J:J, $F68)</f>
        <v>40</v>
      </c>
      <c r="M69" s="1522" cm="1">
        <f t="array" aca="1" ref="M69" ca="1">INDEX( 'Enveloppe du bâtiment hors terr'!H:H, $F68)</f>
        <v>0.22</v>
      </c>
      <c r="N69" s="1627">
        <f>'Outil détaillé'!E$20</f>
        <v>0</v>
      </c>
      <c r="O69" s="1502" cm="1">
        <f t="array" aca="1" ref="O69" ca="1">IFERROR(INDEX('Enveloppe du bâtiment hors terr'!M:M, $F68)*$K69/$M69,0)/$I$1*(1-0.8*N69)</f>
        <v>0.88563199999999997</v>
      </c>
      <c r="P69" s="1416">
        <f t="shared" ca="1" si="82"/>
        <v>0</v>
      </c>
      <c r="Q69" s="1416">
        <f t="shared" ca="1" si="82"/>
        <v>0</v>
      </c>
      <c r="R69" s="256" cm="1">
        <f t="array" aca="1" ref="R69" ca="1">_xlfn.SWITCH(L69,R$3,O69+S69,P$3,P69,0)</f>
        <v>1.684496</v>
      </c>
      <c r="S69" s="1410" cm="1">
        <f t="array" aca="1" ref="S69" ca="1">IFERROR(INDEX('Enveloppe du bâtiment hors terr'!N:N, $F68)*$K69/$M69,0)/$I$1*(1-0.8*N69)</f>
        <v>0.79886400000000002</v>
      </c>
      <c r="T69" s="1411">
        <f t="shared" ref="T69:T70" ca="1" si="88">SUM(O69:S69)</f>
        <v>3.368992</v>
      </c>
      <c r="U69" s="1530" cm="1">
        <f t="array" aca="1" ref="U69" ca="1">IFERROR(INDEX('Enveloppe du bâtiment hors terr'!O:O, $F68)*$K69/$M69,0)/$I$1*(1-0.8*N69)</f>
        <v>0</v>
      </c>
      <c r="V69" s="1502" cm="1">
        <f t="array" aca="1" ref="V69" ca="1">IFERROR(INDEX('Enveloppe du bâtiment hors terr'!K:K, $F68)*$K69/$M69,0)/$I$1*(1-0.8*N69)</f>
        <v>7.6894400000000003</v>
      </c>
      <c r="W69" s="1416">
        <f t="shared" ca="1" si="84"/>
        <v>0</v>
      </c>
      <c r="X69" s="1416">
        <f t="shared" ca="1" si="84"/>
        <v>0</v>
      </c>
      <c r="Y69" s="256" cm="1">
        <f t="array" aca="1" ref="Y69" ca="1">_xlfn.SWITCH(T69,Y$3,V69+Z69,W$3,W69,0)</f>
        <v>0</v>
      </c>
      <c r="Z69" s="1410" cm="1">
        <f t="array" aca="1" ref="Z69" ca="1">IFERROR(INDEX('Enveloppe du bâtiment hors terr'!L:L, $F68)*$K69/$M69,0)/$I$1*(1-0.8*N69)</f>
        <v>6.2532799999999999E-2</v>
      </c>
      <c r="AA69" s="1460">
        <f t="shared" ref="AA69:AA70" ca="1" si="89">SUM(V69:Z69)</f>
        <v>7.7519727999999999</v>
      </c>
      <c r="AB69" s="1460"/>
    </row>
    <row r="70" spans="2:28" ht="15.75" customHeight="1" outlineLevel="1">
      <c r="B70" s="1871"/>
      <c r="C70" s="1875"/>
      <c r="D70" s="163"/>
      <c r="E70" s="163"/>
      <c r="F70" s="163">
        <f t="shared" ca="1" si="86"/>
        <v>2</v>
      </c>
      <c r="G70" s="163" cm="1">
        <f t="array" aca="1" ref="G70" ca="1">INDEX( 'Enveloppe du bâtiment hors terr'!C:C, $F69)</f>
        <v>0</v>
      </c>
      <c r="H70" s="163" cm="1">
        <f t="array" aca="1" ref="H70" ca="1">INDEX( 'Enveloppe du bâtiment hors terr'!D:D, $F69)</f>
        <v>0</v>
      </c>
      <c r="I70" s="163" cm="1">
        <f t="array" aca="1" ref="I70" ca="1">INDEX( 'Enveloppe du bâtiment hors terr'!G:G, $F69)</f>
        <v>0</v>
      </c>
      <c r="J70" s="163">
        <f ca="1">_xlfn.XLOOKUP($I70,'Baumaterialien Matériaux'!A:A,'Baumaterialien Matériaux'!G:G,0,0)</f>
        <v>0</v>
      </c>
      <c r="K70" s="262">
        <f t="shared" ca="1" si="87"/>
        <v>0</v>
      </c>
      <c r="L70" s="163" cm="1">
        <f t="array" aca="1" ref="L70" ca="1">INDEX( 'Enveloppe du bâtiment hors terr'!J:J, $F69)</f>
        <v>40</v>
      </c>
      <c r="M70" s="1522" cm="1">
        <f t="array" aca="1" ref="M70" ca="1">INDEX( 'Enveloppe du bâtiment hors terr'!H:H, $F69)</f>
        <v>0</v>
      </c>
      <c r="N70" s="1627">
        <f>'Outil détaillé'!E$20</f>
        <v>0</v>
      </c>
      <c r="O70" s="1502" cm="1">
        <f t="array" aca="1" ref="O70" ca="1">IFERROR(INDEX('Enveloppe du bâtiment hors terr'!M:M, $F69)*$K70/$M70,0)/$I$1*(1-0.8*N70)</f>
        <v>0</v>
      </c>
      <c r="P70" s="1416">
        <f t="shared" ca="1" si="82"/>
        <v>0</v>
      </c>
      <c r="Q70" s="1416">
        <f t="shared" ca="1" si="82"/>
        <v>0</v>
      </c>
      <c r="R70" s="256" cm="1">
        <f t="array" aca="1" ref="R70" ca="1">_xlfn.SWITCH(L70,R$3,O70+S70,P$3,P70,0)</f>
        <v>0</v>
      </c>
      <c r="S70" s="1410" cm="1">
        <f t="array" aca="1" ref="S70" ca="1">IFERROR(INDEX('Enveloppe du bâtiment hors terr'!N:N, $F69)*$K70/$M70,0)/$I$1*(1-0.8*N70)</f>
        <v>0</v>
      </c>
      <c r="T70" s="1411">
        <f t="shared" ca="1" si="88"/>
        <v>0</v>
      </c>
      <c r="U70" s="1530" cm="1">
        <f t="array" aca="1" ref="U70" ca="1">IFERROR(INDEX('Enveloppe du bâtiment hors terr'!O:O, $F69)*$K70/$M70,0)/$I$1*(1-0.8*N70)</f>
        <v>0</v>
      </c>
      <c r="V70" s="1502" cm="1">
        <f t="array" aca="1" ref="V70" ca="1">IFERROR(INDEX('Enveloppe du bâtiment hors terr'!K:K, $F69)*$K70/$M70,0)/$I$1*(1-0.8*N70)</f>
        <v>0</v>
      </c>
      <c r="W70" s="1416">
        <f t="shared" ca="1" si="84"/>
        <v>0</v>
      </c>
      <c r="X70" s="1416">
        <f t="shared" ca="1" si="84"/>
        <v>0</v>
      </c>
      <c r="Y70" s="256" cm="1">
        <f t="array" aca="1" ref="Y70" ca="1">_xlfn.SWITCH(T70,Y$3,V70+Z70,W$3,W70,0)</f>
        <v>0</v>
      </c>
      <c r="Z70" s="1410" cm="1">
        <f t="array" aca="1" ref="Z70" ca="1">IFERROR(INDEX('Enveloppe du bâtiment hors terr'!L:L, $F69)*$K70/$M70,0)/$I$1*(1-0.8*N70)</f>
        <v>0</v>
      </c>
      <c r="AA70" s="1460">
        <f t="shared" ca="1" si="89"/>
        <v>0</v>
      </c>
      <c r="AB70" s="1460"/>
    </row>
    <row r="71" spans="2:28" ht="15.75" customHeight="1" outlineLevel="1">
      <c r="B71" s="1871"/>
      <c r="C71" s="984"/>
      <c r="D71" s="163" t="str">
        <f>'Outil détaillé'!D21</f>
        <v>Façade isolant</v>
      </c>
      <c r="E71" s="164" t="str">
        <f>'Outil détaillé'!F21</f>
        <v>Laine de roche</v>
      </c>
      <c r="F71" s="164">
        <f ca="1">MATCH(E71, INDIRECT("'Enveloppe du bâtiment hors terr'!A"&amp;F61+1&amp;":A500"),0)+F61</f>
        <v>85</v>
      </c>
      <c r="G71" s="164"/>
      <c r="H71" s="164"/>
      <c r="I71" s="164"/>
      <c r="J71" s="164" t="s">
        <v>87</v>
      </c>
      <c r="K71" s="270">
        <f>'Outil détaillé'!K21</f>
        <v>217.6</v>
      </c>
      <c r="L71" s="271"/>
      <c r="M71" s="1467"/>
      <c r="N71" s="1623"/>
      <c r="O71" s="1488">
        <f ca="1">SUM(O72:O74)</f>
        <v>10.871731200000001</v>
      </c>
      <c r="P71" s="1489">
        <f t="shared" ref="P71:U71" ca="1" si="90">SUM(P72:P74)</f>
        <v>0</v>
      </c>
      <c r="Q71" s="1489">
        <f t="shared" ca="1" si="90"/>
        <v>0</v>
      </c>
      <c r="R71" s="1489">
        <f t="shared" ca="1" si="90"/>
        <v>11.721937920000002</v>
      </c>
      <c r="S71" s="1489">
        <f t="shared" ca="1" si="90"/>
        <v>0.85020672000000008</v>
      </c>
      <c r="T71" s="1489">
        <f t="shared" ca="1" si="90"/>
        <v>23.44387584</v>
      </c>
      <c r="U71" s="1490">
        <f t="shared" ca="1" si="90"/>
        <v>0</v>
      </c>
      <c r="V71" s="1488">
        <f ca="1">SUM(V72:V74)</f>
        <v>44.520960000000009</v>
      </c>
      <c r="W71" s="1489">
        <f t="shared" ref="W71:Z71" ca="1" si="91">SUM(W72:W74)</f>
        <v>0</v>
      </c>
      <c r="X71" s="1489">
        <f t="shared" ca="1" si="91"/>
        <v>0</v>
      </c>
      <c r="Y71" s="1489">
        <f t="shared" ca="1" si="91"/>
        <v>0</v>
      </c>
      <c r="Z71" s="1489">
        <f t="shared" ca="1" si="91"/>
        <v>1.9100928000000004</v>
      </c>
      <c r="AA71" s="1490">
        <f t="shared" ref="AA71" ca="1" si="92">SUM(AA72:AA74)</f>
        <v>46.43105280000001</v>
      </c>
      <c r="AB71" s="1490"/>
    </row>
    <row r="72" spans="2:28" ht="15.75" customHeight="1" outlineLevel="1">
      <c r="B72" s="1871"/>
      <c r="C72" s="984"/>
      <c r="D72" s="163"/>
      <c r="E72" s="163"/>
      <c r="F72" s="163">
        <f ca="1">IF(I72=0,2,F71+1)</f>
        <v>86</v>
      </c>
      <c r="G72" s="163" t="str" cm="1">
        <f t="array" aca="1" ref="G72" ca="1">INDEX( 'Enveloppe du bâtiment hors terr'!C:C, $F71)</f>
        <v>220 mm Steinwolle (48 kg/m3, 0.034 W/mK) [kg]</v>
      </c>
      <c r="H72" s="163" t="str" cm="1">
        <f t="array" aca="1" ref="H72" ca="1">INDEX( 'Enveloppe du bâtiment hors terr'!D:D, $F71)</f>
        <v>Laine de roche</v>
      </c>
      <c r="I72" s="163" t="str" cm="1">
        <f t="array" aca="1" ref="I72" ca="1">INDEX( 'Enveloppe du bâtiment hors terr'!G:G, $F71)</f>
        <v>10.008</v>
      </c>
      <c r="J72" s="163" t="str">
        <f ca="1">_xlfn.XLOOKUP($I72,'Baumaterialien Matériaux'!A:A,'Baumaterialien Matériaux'!G:G,0,0)</f>
        <v>kg</v>
      </c>
      <c r="K72" s="262">
        <f ca="1">M72*$K$71</f>
        <v>2297.8560000000002</v>
      </c>
      <c r="L72" s="163">
        <f ca="1">L63</f>
        <v>40</v>
      </c>
      <c r="M72" s="1522" cm="1">
        <f t="array" aca="1" ref="M72" ca="1">INDEX( 'Enveloppe du bâtiment hors terr'!H:H, $F71)</f>
        <v>10.56</v>
      </c>
      <c r="N72" s="1627">
        <f>'Outil détaillé'!E$21</f>
        <v>0</v>
      </c>
      <c r="O72" s="1502" cm="1">
        <f t="array" aca="1" ref="O72" ca="1">IFERROR(INDEX('Enveloppe du bâtiment hors terr'!M:M, $F71)*$K72/$M72,0)/$I$1*(1-0.8*N72)</f>
        <v>10.871731200000001</v>
      </c>
      <c r="P72" s="1416">
        <f t="shared" ca="1" si="82"/>
        <v>0</v>
      </c>
      <c r="Q72" s="1416">
        <f t="shared" ca="1" si="82"/>
        <v>0</v>
      </c>
      <c r="R72" s="256" cm="1">
        <f t="array" aca="1" ref="R72" ca="1">_xlfn.SWITCH(L72,R$3,O72+S72,P$3,P72,0)</f>
        <v>11.721937920000002</v>
      </c>
      <c r="S72" s="1410" cm="1">
        <f t="array" aca="1" ref="S72" ca="1">IFERROR(INDEX('Enveloppe du bâtiment hors terr'!N:N, $F71)*$K72/$M72,0)/$I$1*(1-0.8*N72)</f>
        <v>0.85020672000000008</v>
      </c>
      <c r="T72" s="1411">
        <f t="shared" ref="T72" ca="1" si="93">SUM(O72:S72)</f>
        <v>23.44387584</v>
      </c>
      <c r="U72" s="1530" cm="1">
        <f t="array" aca="1" ref="U72" ca="1">IFERROR(INDEX('Enveloppe du bâtiment hors terr'!O:O, $F71)*$K72/$M72,0)/$I$1*(1-0.8*N72)</f>
        <v>0</v>
      </c>
      <c r="V72" s="1502" cm="1">
        <f t="array" aca="1" ref="V72" ca="1">IFERROR(INDEX('Enveloppe du bâtiment hors terr'!K:K, $F71)*$K72/$M72,0)/$I$1*(1-0.8*N72)</f>
        <v>44.520960000000009</v>
      </c>
      <c r="W72" s="1416">
        <f t="shared" ca="1" si="84"/>
        <v>0</v>
      </c>
      <c r="X72" s="1416">
        <f t="shared" ca="1" si="84"/>
        <v>0</v>
      </c>
      <c r="Y72" s="256" cm="1">
        <f t="array" aca="1" ref="Y72" ca="1">_xlfn.SWITCH(T72,Y$3,V72+Z72,W$3,W72,0)</f>
        <v>0</v>
      </c>
      <c r="Z72" s="1410" cm="1">
        <f t="array" aca="1" ref="Z72" ca="1">IFERROR(INDEX('Enveloppe du bâtiment hors terr'!L:L, $F71)*$K72/$M72,0)/$I$1*(1-0.8*N72)</f>
        <v>1.9100928000000004</v>
      </c>
      <c r="AA72" s="1460">
        <f t="shared" ref="AA72" ca="1" si="94">SUM(V72:Z72)</f>
        <v>46.43105280000001</v>
      </c>
      <c r="AB72" s="1460"/>
    </row>
    <row r="73" spans="2:28" ht="15.75" customHeight="1" outlineLevel="1">
      <c r="B73" s="1871"/>
      <c r="C73" s="984"/>
      <c r="D73" s="163"/>
      <c r="E73" s="163"/>
      <c r="F73" s="163">
        <f t="shared" ref="F73:F74" ca="1" si="95">IF(I73=0,2,F72+1)</f>
        <v>2</v>
      </c>
      <c r="G73" s="163" cm="1">
        <f t="array" aca="1" ref="G73" ca="1">INDEX( 'Enveloppe du bâtiment hors terr'!C:C, $F72)</f>
        <v>0</v>
      </c>
      <c r="H73" s="163" cm="1">
        <f t="array" aca="1" ref="H73" ca="1">INDEX( 'Enveloppe du bâtiment hors terr'!D:D, $F72)</f>
        <v>0</v>
      </c>
      <c r="I73" s="163" cm="1">
        <f t="array" aca="1" ref="I73" ca="1">INDEX( 'Enveloppe du bâtiment hors terr'!G:G, $F72)</f>
        <v>0</v>
      </c>
      <c r="J73" s="163">
        <f ca="1">_xlfn.XLOOKUP($I73,'Baumaterialien Matériaux'!A:A,'Baumaterialien Matériaux'!G:G,0,0)</f>
        <v>0</v>
      </c>
      <c r="K73" s="262">
        <f t="shared" ref="K73:K74" ca="1" si="96">M73*$K$62</f>
        <v>0</v>
      </c>
      <c r="L73" s="163">
        <f ca="1">L64</f>
        <v>40</v>
      </c>
      <c r="M73" s="1522" cm="1">
        <f t="array" aca="1" ref="M73" ca="1">INDEX( 'Enveloppe du bâtiment hors terr'!H:H, $F72)</f>
        <v>0</v>
      </c>
      <c r="N73" s="1627">
        <f>'Outil détaillé'!E$21</f>
        <v>0</v>
      </c>
      <c r="O73" s="1502" cm="1">
        <f t="array" aca="1" ref="O73" ca="1">IFERROR(INDEX('Enveloppe du bâtiment hors terr'!M:M, $F72)*$K73/$M73,0)/$I$1*(1-0.8*N73)</f>
        <v>0</v>
      </c>
      <c r="P73" s="1416">
        <f t="shared" ca="1" si="82"/>
        <v>0</v>
      </c>
      <c r="Q73" s="1416">
        <f t="shared" ca="1" si="82"/>
        <v>0</v>
      </c>
      <c r="R73" s="256" cm="1">
        <f t="array" aca="1" ref="R73" ca="1">_xlfn.SWITCH(L73,R$3,O73+S73,P$3,P73,0)</f>
        <v>0</v>
      </c>
      <c r="S73" s="1410" cm="1">
        <f t="array" aca="1" ref="S73" ca="1">IFERROR(INDEX('Enveloppe du bâtiment hors terr'!N:N, $F72)*$K73/$M73,0)/$I$1*(1-0.8*N73)</f>
        <v>0</v>
      </c>
      <c r="T73" s="1411">
        <f t="shared" ref="T73:T74" ca="1" si="97">SUM(O73:S73)</f>
        <v>0</v>
      </c>
      <c r="U73" s="1530" cm="1">
        <f t="array" aca="1" ref="U73" ca="1">IFERROR(INDEX('Enveloppe du bâtiment hors terr'!O:O, $F72)*$K73/$M73,0)/$I$1*(1-0.8*N73)</f>
        <v>0</v>
      </c>
      <c r="V73" s="1502" cm="1">
        <f t="array" aca="1" ref="V73" ca="1">IFERROR(INDEX('Enveloppe du bâtiment hors terr'!K:K, $F72)*$K73/$M73,0)/$I$1*(1-0.8*N73)</f>
        <v>0</v>
      </c>
      <c r="W73" s="1416">
        <f t="shared" ca="1" si="84"/>
        <v>0</v>
      </c>
      <c r="X73" s="1416">
        <f t="shared" ca="1" si="84"/>
        <v>0</v>
      </c>
      <c r="Y73" s="256" cm="1">
        <f t="array" aca="1" ref="Y73" ca="1">_xlfn.SWITCH(T73,Y$3,V73+Z73,W$3,W73,0)</f>
        <v>0</v>
      </c>
      <c r="Z73" s="1410" cm="1">
        <f t="array" aca="1" ref="Z73" ca="1">IFERROR(INDEX('Enveloppe du bâtiment hors terr'!L:L, $F72)*$K73/$M73,0)/$I$1*(1-0.8*N73)</f>
        <v>0</v>
      </c>
      <c r="AA73" s="1460">
        <f t="shared" ref="AA73:AA74" ca="1" si="98">SUM(V73:Z73)</f>
        <v>0</v>
      </c>
      <c r="AB73" s="1460"/>
    </row>
    <row r="74" spans="2:28" ht="15.75" customHeight="1" outlineLevel="1">
      <c r="B74" s="1871"/>
      <c r="C74" s="984"/>
      <c r="D74" s="163"/>
      <c r="E74" s="163"/>
      <c r="F74" s="163">
        <f t="shared" ca="1" si="95"/>
        <v>2</v>
      </c>
      <c r="G74" s="163" cm="1">
        <f t="array" aca="1" ref="G74" ca="1">INDEX( 'Enveloppe du bâtiment hors terr'!C:C, $F73)</f>
        <v>0</v>
      </c>
      <c r="H74" s="163" cm="1">
        <f t="array" aca="1" ref="H74" ca="1">INDEX( 'Enveloppe du bâtiment hors terr'!D:D, $F73)</f>
        <v>0</v>
      </c>
      <c r="I74" s="163" cm="1">
        <f t="array" aca="1" ref="I74" ca="1">INDEX( 'Enveloppe du bâtiment hors terr'!G:G, $F73)</f>
        <v>0</v>
      </c>
      <c r="J74" s="163">
        <f ca="1">_xlfn.XLOOKUP($I74,'Baumaterialien Matériaux'!A:A,'Baumaterialien Matériaux'!G:G,0,0)</f>
        <v>0</v>
      </c>
      <c r="K74" s="262">
        <f t="shared" ca="1" si="96"/>
        <v>0</v>
      </c>
      <c r="L74" s="163">
        <f ca="1">L63</f>
        <v>40</v>
      </c>
      <c r="M74" s="1522" cm="1">
        <f t="array" aca="1" ref="M74" ca="1">INDEX( 'Enveloppe du bâtiment hors terr'!H:H, $F73)</f>
        <v>0</v>
      </c>
      <c r="N74" s="1627">
        <f>'Outil détaillé'!E$21</f>
        <v>0</v>
      </c>
      <c r="O74" s="1502" cm="1">
        <f t="array" aca="1" ref="O74" ca="1">IFERROR(INDEX('Enveloppe du bâtiment hors terr'!M:M, $F73)*$K74/$M74,0)/$I$1*(1-0.8*N74)</f>
        <v>0</v>
      </c>
      <c r="P74" s="1416">
        <f t="shared" ca="1" si="82"/>
        <v>0</v>
      </c>
      <c r="Q74" s="1416">
        <f t="shared" ca="1" si="82"/>
        <v>0</v>
      </c>
      <c r="R74" s="256" cm="1">
        <f t="array" aca="1" ref="R74" ca="1">_xlfn.SWITCH(L74,R$3,O74+S74,P$3,P74,0)</f>
        <v>0</v>
      </c>
      <c r="S74" s="1410" cm="1">
        <f t="array" aca="1" ref="S74" ca="1">IFERROR(INDEX('Enveloppe du bâtiment hors terr'!N:N, $F73)*$K74/$M74,0)/$I$1*(1-0.8*N74)</f>
        <v>0</v>
      </c>
      <c r="T74" s="1411">
        <f t="shared" ca="1" si="97"/>
        <v>0</v>
      </c>
      <c r="U74" s="1530" cm="1">
        <f t="array" aca="1" ref="U74" ca="1">IFERROR(INDEX('Enveloppe du bâtiment hors terr'!O:O, $F73)*$K74/$M74,0)/$I$1*(1-0.8*N74)</f>
        <v>0</v>
      </c>
      <c r="V74" s="1502" cm="1">
        <f t="array" aca="1" ref="V74" ca="1">IFERROR(INDEX('Enveloppe du bâtiment hors terr'!K:K, $F73)*$K74/$M74,0)/$I$1*(1-0.8*N74)</f>
        <v>0</v>
      </c>
      <c r="W74" s="1416">
        <f t="shared" ca="1" si="84"/>
        <v>0</v>
      </c>
      <c r="X74" s="1416">
        <f t="shared" ca="1" si="84"/>
        <v>0</v>
      </c>
      <c r="Y74" s="256" cm="1">
        <f t="array" aca="1" ref="Y74" ca="1">_xlfn.SWITCH(T74,Y$3,V74+Z74,W$3,W74,0)</f>
        <v>0</v>
      </c>
      <c r="Z74" s="1410" cm="1">
        <f t="array" aca="1" ref="Z74" ca="1">IFERROR(INDEX('Enveloppe du bâtiment hors terr'!L:L, $F73)*$K74/$M74,0)/$I$1*(1-0.8*N74)</f>
        <v>0</v>
      </c>
      <c r="AA74" s="1460">
        <f t="shared" ca="1" si="98"/>
        <v>0</v>
      </c>
      <c r="AB74" s="1460"/>
    </row>
    <row r="75" spans="2:28" ht="15.75" customHeight="1">
      <c r="B75" s="1871"/>
      <c r="C75" s="1873" t="str">
        <f>'Outil détaillé'!C22</f>
        <v>E03 / F02</v>
      </c>
      <c r="D75" s="162" t="str">
        <f>'Outil détaillé'!D22</f>
        <v>Fenetres et portes</v>
      </c>
      <c r="E75" s="162"/>
      <c r="F75" s="162">
        <f>MATCH(D75, 'Enveloppe du bâtiment hors terr'!B:B,0)</f>
        <v>93</v>
      </c>
      <c r="G75" s="162"/>
      <c r="H75" s="162"/>
      <c r="I75" s="162"/>
      <c r="J75" s="162"/>
      <c r="K75" s="265"/>
      <c r="L75" s="264"/>
      <c r="M75" s="1523"/>
      <c r="N75" s="1628"/>
      <c r="O75" s="1503">
        <f t="shared" ref="O75" ca="1" si="99">O76+O81</f>
        <v>35.575245000000002</v>
      </c>
      <c r="P75" s="1504">
        <f t="shared" ref="P75:V75" ca="1" si="100">P76+P81</f>
        <v>0</v>
      </c>
      <c r="Q75" s="1504">
        <f t="shared" ca="1" si="100"/>
        <v>38.602935000000002</v>
      </c>
      <c r="R75" s="1504">
        <f t="shared" ca="1" si="100"/>
        <v>0</v>
      </c>
      <c r="S75" s="1504">
        <f t="shared" ca="1" si="100"/>
        <v>3.0276900000000002</v>
      </c>
      <c r="T75" s="1504">
        <f t="shared" ca="1" si="100"/>
        <v>77.20586999999999</v>
      </c>
      <c r="U75" s="1505">
        <f t="shared" ca="1" si="100"/>
        <v>6.6</v>
      </c>
      <c r="V75" s="1503">
        <f t="shared" ca="1" si="100"/>
        <v>159.19844999999998</v>
      </c>
      <c r="W75" s="1504">
        <f t="shared" ref="W75:Z75" ca="1" si="101">W76+W81</f>
        <v>0</v>
      </c>
      <c r="X75" s="1504">
        <f t="shared" ca="1" si="101"/>
        <v>160.60524150000001</v>
      </c>
      <c r="Y75" s="1504">
        <f t="shared" ca="1" si="101"/>
        <v>0</v>
      </c>
      <c r="Z75" s="1504">
        <f t="shared" ca="1" si="101"/>
        <v>1.4067915</v>
      </c>
      <c r="AA75" s="1505">
        <f t="shared" ref="AA75" ca="1" si="102">AA76+AA81</f>
        <v>321.21048300000001</v>
      </c>
      <c r="AB75" s="1505"/>
    </row>
    <row r="76" spans="2:28" ht="15.75">
      <c r="B76" s="1871"/>
      <c r="C76" s="1874"/>
      <c r="D76" s="163" t="str">
        <f>'Outil détaillé'!D23</f>
        <v>Fenêtres</v>
      </c>
      <c r="E76" s="164" t="str">
        <f>'Outil détaillé'!F23</f>
        <v>Triple vitrage isolant, cadre bois y c. protection solaire</v>
      </c>
      <c r="F76" s="164">
        <f ca="1">MATCH(E76, INDIRECT("'Enveloppe du bâtiment hors terr'!A"&amp;F75+1&amp;":A500"),0)+F75</f>
        <v>106</v>
      </c>
      <c r="G76" s="164"/>
      <c r="H76" s="164"/>
      <c r="I76" s="164"/>
      <c r="J76" s="164" t="s">
        <v>87</v>
      </c>
      <c r="K76" s="270">
        <f>'Outil détaillé'!K23</f>
        <v>38.4</v>
      </c>
      <c r="L76" s="271"/>
      <c r="M76" s="1467"/>
      <c r="N76" s="1623"/>
      <c r="O76" s="1488">
        <f t="shared" ref="O76" ca="1" si="103">SUM(O77:O80)</f>
        <v>32.93712</v>
      </c>
      <c r="P76" s="1489">
        <f t="shared" ref="P76:U76" ca="1" si="104">SUM(P77:P80)</f>
        <v>0</v>
      </c>
      <c r="Q76" s="1489">
        <f t="shared" ca="1" si="104"/>
        <v>35.770560000000003</v>
      </c>
      <c r="R76" s="1489">
        <f t="shared" ca="1" si="104"/>
        <v>0</v>
      </c>
      <c r="S76" s="1489">
        <f t="shared" ca="1" si="104"/>
        <v>2.8334400000000004</v>
      </c>
      <c r="T76" s="1489">
        <f t="shared" ca="1" si="104"/>
        <v>71.541119999999992</v>
      </c>
      <c r="U76" s="1490">
        <f t="shared" ca="1" si="104"/>
        <v>6.6</v>
      </c>
      <c r="V76" s="1488">
        <f t="shared" ref="V76" ca="1" si="105">SUM(V77:V80)</f>
        <v>147.30719999999997</v>
      </c>
      <c r="W76" s="1489">
        <f t="shared" ref="W76:Z76" ca="1" si="106">SUM(W77:W80)</f>
        <v>0</v>
      </c>
      <c r="X76" s="1489">
        <f t="shared" ca="1" si="106"/>
        <v>148.64390399999999</v>
      </c>
      <c r="Y76" s="1489">
        <f t="shared" ca="1" si="106"/>
        <v>0</v>
      </c>
      <c r="Z76" s="1489">
        <f t="shared" ca="1" si="106"/>
        <v>1.3367039999999999</v>
      </c>
      <c r="AA76" s="1490">
        <f t="shared" ref="AA76" ca="1" si="107">SUM(AA77:AA80)</f>
        <v>297.28780799999998</v>
      </c>
      <c r="AB76" s="1490"/>
    </row>
    <row r="77" spans="2:28" ht="15.75" customHeight="1" outlineLevel="1">
      <c r="B77" s="1871"/>
      <c r="C77" s="1874"/>
      <c r="D77" s="163"/>
      <c r="E77" s="163"/>
      <c r="F77" s="163">
        <f ca="1">IF(I77=0,2,F76+1)</f>
        <v>107</v>
      </c>
      <c r="G77" s="163" t="str" cm="1">
        <f t="array" aca="1" ref="G77" ca="1">INDEX( 'Enveloppe du bâtiment hors terr'!C:C, $F76)</f>
        <v>Holz-Metallfenster [m2 i.L.]</v>
      </c>
      <c r="H77" s="163" t="str" cm="1">
        <f t="array" aca="1" ref="H77" ca="1">INDEX( 'Enveloppe du bâtiment hors terr'!D:D, $F76)</f>
        <v>Cadre de fenêtre en bois</v>
      </c>
      <c r="I77" s="163" t="str" cm="1">
        <f t="array" aca="1" ref="I77" ca="1">INDEX( 'Enveloppe du bâtiment hors terr'!G:G, $F76)</f>
        <v>05.005</v>
      </c>
      <c r="J77" s="163" t="str">
        <f ca="1">_xlfn.XLOOKUP($I77,'Baumaterialien Matériaux'!A:A,'Baumaterialien Matériaux'!G:G,0,0)</f>
        <v>m2</v>
      </c>
      <c r="K77" s="262">
        <f ca="1">M77*$K$76</f>
        <v>38.4</v>
      </c>
      <c r="L77" s="163" cm="1">
        <f t="array" aca="1" ref="L77" ca="1">INDEX( 'Enveloppe du bâtiment hors terr'!J:J, $F76)</f>
        <v>30</v>
      </c>
      <c r="M77" s="1522" cm="1">
        <f t="array" aca="1" ref="M77" ca="1">INDEX( 'Enveloppe du bâtiment hors terr'!H:H, $F76)</f>
        <v>1</v>
      </c>
      <c r="N77" s="1627">
        <f>'Outil détaillé'!E$23</f>
        <v>0</v>
      </c>
      <c r="O77" s="1502" cm="1">
        <f t="array" aca="1" ref="O77" ca="1">IFERROR(INDEX('Enveloppe du bâtiment hors terr'!M:M, $F76)*$K77/$M77,0)/$I$1*(1-0.8*N77)</f>
        <v>7.2720000000000002</v>
      </c>
      <c r="P77" s="1416">
        <f t="shared" ref="P77:Q80" ca="1" si="108">IF($L77=P$3,$O77+$S77,0)</f>
        <v>0</v>
      </c>
      <c r="Q77" s="1416">
        <f t="shared" ca="1" si="108"/>
        <v>8.6856000000000009</v>
      </c>
      <c r="R77" s="256" cm="1">
        <f t="array" aca="1" ref="R77" ca="1">_xlfn.SWITCH(L77,R$3,O77+S77,P$3,P77,0)</f>
        <v>0</v>
      </c>
      <c r="S77" s="1410" cm="1">
        <f t="array" aca="1" ref="S77" ca="1">IFERROR(INDEX('Enveloppe du bâtiment hors terr'!N:N, $F76)*$K77/$M77,0)/$I$1*(1-0.8*N77)</f>
        <v>1.4136</v>
      </c>
      <c r="T77" s="1411">
        <f t="shared" ref="T77:T80" ca="1" si="109">SUM(O77:S77)</f>
        <v>17.371200000000002</v>
      </c>
      <c r="U77" s="1530" cm="1">
        <f t="array" aca="1" ref="U77" ca="1">IFERROR(INDEX('Enveloppe du bâtiment hors terr'!O:O, $F76)*$K77/$M77,0)/$I$1*(1-0.8*N77)</f>
        <v>6.6</v>
      </c>
      <c r="V77" s="1502" cm="1">
        <f t="array" aca="1" ref="V77" ca="1">IFERROR(INDEX('Enveloppe du bâtiment hors terr'!K:K, $F76)*$K77/$M77,0)/$I$1*(1-0.8*N77)</f>
        <v>40.799999999999997</v>
      </c>
      <c r="W77" s="1416">
        <f t="shared" ref="W77:X80" ca="1" si="110">IF($L77=W$3,$V77+$Z77,0)</f>
        <v>0</v>
      </c>
      <c r="X77" s="1416">
        <f t="shared" ca="1" si="110"/>
        <v>41.279999999999994</v>
      </c>
      <c r="Y77" s="256" cm="1">
        <f t="array" aca="1" ref="Y77" ca="1">_xlfn.SWITCH(T77,Y$3,V77+Z77,W$3,W77,0)</f>
        <v>0</v>
      </c>
      <c r="Z77" s="1410" cm="1">
        <f t="array" aca="1" ref="Z77" ca="1">IFERROR(INDEX('Enveloppe du bâtiment hors terr'!L:L, $F76)*$K77/$M77,0)/$I$1*(1-0.8*N77)</f>
        <v>0.48</v>
      </c>
      <c r="AA77" s="1460">
        <f t="shared" ref="AA77:AA80" ca="1" si="111">SUM(V77:Z77)</f>
        <v>82.559999999999988</v>
      </c>
      <c r="AB77" s="1460"/>
    </row>
    <row r="78" spans="2:28" ht="15.75" customHeight="1" outlineLevel="1">
      <c r="B78" s="1871"/>
      <c r="C78" s="1874"/>
      <c r="D78" s="163"/>
      <c r="E78" s="163"/>
      <c r="F78" s="163">
        <f t="shared" ref="F78:F79" ca="1" si="112">IF(I78=0,2,F77+1)</f>
        <v>108</v>
      </c>
      <c r="G78" s="163" t="str" cm="1">
        <f t="array" aca="1" ref="G78" ca="1">INDEX( 'Enveloppe du bâtiment hors terr'!C:C, $F77)</f>
        <v>Isolierverglasung 3-fach, Ug-Wert 0.6 W/m2K, Dicke 40 mm [m2]</v>
      </c>
      <c r="H78" s="163" t="str" cm="1">
        <f t="array" aca="1" ref="H78" ca="1">INDEX( 'Enveloppe du bâtiment hors terr'!D:D, $F77)</f>
        <v>Triple vitrage, U&lt;0.6 W/m2K, épaisseur 40 mm 3</v>
      </c>
      <c r="I78" s="163" t="str" cm="1">
        <f t="array" aca="1" ref="I78" ca="1">INDEX( 'Enveloppe du bâtiment hors terr'!G:G, $F77)</f>
        <v>05.012</v>
      </c>
      <c r="J78" s="163" t="str">
        <f ca="1">_xlfn.XLOOKUP($I78,'Baumaterialien Matériaux'!A:A,'Baumaterialien Matériaux'!G:G,0,0)</f>
        <v>m2</v>
      </c>
      <c r="K78" s="262">
        <f t="shared" ref="K78:K80" ca="1" si="113">M78*$K$76</f>
        <v>29.951999999999998</v>
      </c>
      <c r="L78" s="163" cm="1">
        <f t="array" aca="1" ref="L78" ca="1">INDEX( 'Enveloppe du bâtiment hors terr'!J:J, $F77)</f>
        <v>30</v>
      </c>
      <c r="M78" s="1522" cm="1">
        <f t="array" aca="1" ref="M78" ca="1">INDEX( 'Enveloppe du bâtiment hors terr'!H:H, $F77)</f>
        <v>0.78</v>
      </c>
      <c r="N78" s="1627">
        <f>'Outil détaillé'!E$23</f>
        <v>0</v>
      </c>
      <c r="O78" s="1502" cm="1">
        <f t="array" aca="1" ref="O78" ca="1">IFERROR(INDEX('Enveloppe du bâtiment hors terr'!M:M, $F77)*$K78/$M78,0)/$I$1*(1-0.8*N78)</f>
        <v>11.625119999999999</v>
      </c>
      <c r="P78" s="1416">
        <f t="shared" ca="1" si="108"/>
        <v>0</v>
      </c>
      <c r="Q78" s="1416">
        <f t="shared" ca="1" si="108"/>
        <v>12.692159999999999</v>
      </c>
      <c r="R78" s="256" cm="1">
        <f t="array" aca="1" ref="R78" ca="1">_xlfn.SWITCH(L78,R$3,O78+S78,P$3,P78,0)</f>
        <v>0</v>
      </c>
      <c r="S78" s="1410" cm="1">
        <f t="array" aca="1" ref="S78" ca="1">IFERROR(INDEX('Enveloppe du bâtiment hors terr'!N:N, $F77)*$K78/$M78,0)/$I$1*(1-0.8*N78)</f>
        <v>1.06704</v>
      </c>
      <c r="T78" s="1411">
        <f t="shared" ca="1" si="109"/>
        <v>25.384319999999995</v>
      </c>
      <c r="U78" s="1530" cm="1">
        <f t="array" aca="1" ref="U78" ca="1">IFERROR(INDEX('Enveloppe du bâtiment hors terr'!O:O, $F77)*$K78/$M78,0)/$I$1*(1-0.8*N78)</f>
        <v>0</v>
      </c>
      <c r="V78" s="1502" cm="1">
        <f t="array" aca="1" ref="V78" ca="1">IFERROR(INDEX('Enveloppe du bâtiment hors terr'!K:K, $F77)*$K78/$M78,0)/$I$1*(1-0.8*N78)</f>
        <v>46.987199999999994</v>
      </c>
      <c r="W78" s="1416">
        <f t="shared" ca="1" si="110"/>
        <v>0</v>
      </c>
      <c r="X78" s="1416">
        <f t="shared" ca="1" si="110"/>
        <v>47.739743999999995</v>
      </c>
      <c r="Y78" s="256" cm="1">
        <f t="array" aca="1" ref="Y78" ca="1">_xlfn.SWITCH(T78,Y$3,V78+Z78,W$3,W78,0)</f>
        <v>0</v>
      </c>
      <c r="Z78" s="1410" cm="1">
        <f t="array" aca="1" ref="Z78" ca="1">IFERROR(INDEX('Enveloppe du bâtiment hors terr'!L:L, $F77)*$K78/$M78,0)/$I$1*(1-0.8*N78)</f>
        <v>0.75254399999999988</v>
      </c>
      <c r="AA78" s="1460">
        <f t="shared" ca="1" si="111"/>
        <v>95.479487999999989</v>
      </c>
      <c r="AB78" s="1460"/>
    </row>
    <row r="79" spans="2:28" ht="15.75" customHeight="1" outlineLevel="1">
      <c r="B79" s="1871"/>
      <c r="C79" s="1874"/>
      <c r="D79" s="163"/>
      <c r="E79" s="163"/>
      <c r="F79" s="163">
        <f t="shared" ca="1" si="112"/>
        <v>109</v>
      </c>
      <c r="G79" s="163" t="str" cm="1">
        <f t="array" aca="1" ref="G79" ca="1">INDEX( 'Enveloppe du bâtiment hors terr'!C:C, $F78)</f>
        <v>Lamellenstoren [m2]</v>
      </c>
      <c r="H79" s="163" t="str" cm="1">
        <f t="array" aca="1" ref="H79" ca="1">INDEX( 'Enveloppe du bâtiment hors terr'!D:D, $F78)</f>
        <v>Protection solaire, stores vénitiens avec moteur 4</v>
      </c>
      <c r="I79" s="163" t="str" cm="1">
        <f t="array" aca="1" ref="I79" ca="1">INDEX( 'Enveloppe du bâtiment hors terr'!G:G, $F78)</f>
        <v>05.017</v>
      </c>
      <c r="J79" s="163" t="str">
        <f ca="1">_xlfn.XLOOKUP($I79,'Baumaterialien Matériaux'!A:A,'Baumaterialien Matériaux'!G:G,0,0)</f>
        <v>m2</v>
      </c>
      <c r="K79" s="262">
        <f ca="1">M79*$K$76</f>
        <v>38.4</v>
      </c>
      <c r="L79" s="163" cm="1">
        <f t="array" aca="1" ref="L79" ca="1">INDEX( 'Enveloppe du bâtiment hors terr'!J:J, $F78)</f>
        <v>30</v>
      </c>
      <c r="M79" s="1522" cm="1">
        <f t="array" aca="1" ref="M79" ca="1">INDEX( 'Enveloppe du bâtiment hors terr'!H:H, $F78)</f>
        <v>1</v>
      </c>
      <c r="N79" s="1627">
        <f>'Outil détaillé'!E$23</f>
        <v>0</v>
      </c>
      <c r="O79" s="1502" cm="1">
        <f t="array" aca="1" ref="O79" ca="1">IFERROR(INDEX('Enveloppe du bâtiment hors terr'!M:M, $F78)*$K79/$M79,0)/$I$1*(1-0.8*N79)</f>
        <v>14.040000000000001</v>
      </c>
      <c r="P79" s="1416">
        <f t="shared" ca="1" si="108"/>
        <v>0</v>
      </c>
      <c r="Q79" s="1416">
        <f t="shared" ca="1" si="108"/>
        <v>14.392800000000001</v>
      </c>
      <c r="R79" s="256" cm="1">
        <f t="array" aca="1" ref="R79" ca="1">_xlfn.SWITCH(L79,R$3,O79+S79,P$3,P79,0)</f>
        <v>0</v>
      </c>
      <c r="S79" s="1410" cm="1">
        <f t="array" aca="1" ref="S79" ca="1">IFERROR(INDEX('Enveloppe du bâtiment hors terr'!N:N, $F78)*$K79/$M79,0)/$I$1*(1-0.8*N79)</f>
        <v>0.3528</v>
      </c>
      <c r="T79" s="1411">
        <f t="shared" ca="1" si="109"/>
        <v>28.785599999999999</v>
      </c>
      <c r="U79" s="1530" cm="1">
        <f t="array" aca="1" ref="U79" ca="1">IFERROR(INDEX('Enveloppe du bâtiment hors terr'!O:O, $F78)*$K79/$M79,0)/$I$1*(1-0.8*N79)</f>
        <v>0</v>
      </c>
      <c r="V79" s="1502" cm="1">
        <f t="array" aca="1" ref="V79" ca="1">IFERROR(INDEX('Enveloppe du bâtiment hors terr'!K:K, $F78)*$K79/$M79,0)/$I$1*(1-0.8*N79)</f>
        <v>59.519999999999996</v>
      </c>
      <c r="W79" s="1416">
        <f t="shared" ca="1" si="110"/>
        <v>0</v>
      </c>
      <c r="X79" s="1416">
        <f t="shared" ca="1" si="110"/>
        <v>59.624159999999996</v>
      </c>
      <c r="Y79" s="256" cm="1">
        <f t="array" aca="1" ref="Y79" ca="1">_xlfn.SWITCH(T79,Y$3,V79+Z79,W$3,W79,0)</f>
        <v>0</v>
      </c>
      <c r="Z79" s="1410" cm="1">
        <f t="array" aca="1" ref="Z79" ca="1">IFERROR(INDEX('Enveloppe du bâtiment hors terr'!L:L, $F78)*$K79/$M79,0)/$I$1*(1-0.8*N79)</f>
        <v>0.10415999999999999</v>
      </c>
      <c r="AA79" s="1460">
        <f t="shared" ca="1" si="111"/>
        <v>119.24831999999999</v>
      </c>
      <c r="AB79" s="1460"/>
    </row>
    <row r="80" spans="2:28" ht="15.75" customHeight="1" outlineLevel="1">
      <c r="B80" s="1871"/>
      <c r="C80" s="1874"/>
      <c r="D80" s="163"/>
      <c r="E80" s="163"/>
      <c r="F80" s="163">
        <f t="shared" ref="F80" ca="1" si="114">IF(I80=0,2,F79+1)</f>
        <v>2</v>
      </c>
      <c r="G80" s="163" cm="1">
        <f t="array" aca="1" ref="G80" ca="1">INDEX( 'Enveloppe du bâtiment hors terr'!C:C, $F79)</f>
        <v>0</v>
      </c>
      <c r="H80" s="163" cm="1">
        <f t="array" aca="1" ref="H80" ca="1">INDEX( 'Enveloppe du bâtiment hors terr'!D:D, $F79)</f>
        <v>0</v>
      </c>
      <c r="I80" s="163" cm="1">
        <f t="array" aca="1" ref="I80" ca="1">INDEX( 'Enveloppe du bâtiment hors terr'!G:G, $F79)</f>
        <v>0</v>
      </c>
      <c r="J80" s="163">
        <f ca="1">_xlfn.XLOOKUP($I80,'Baumaterialien Matériaux'!A:A,'Baumaterialien Matériaux'!G:G,0,0)</f>
        <v>0</v>
      </c>
      <c r="K80" s="262">
        <f t="shared" ca="1" si="113"/>
        <v>0</v>
      </c>
      <c r="L80" s="163" cm="1">
        <f t="array" aca="1" ref="L80" ca="1">INDEX( 'Enveloppe du bâtiment hors terr'!J:J, $F79)</f>
        <v>30</v>
      </c>
      <c r="M80" s="1522" cm="1">
        <f t="array" aca="1" ref="M80" ca="1">INDEX( 'Enveloppe du bâtiment hors terr'!H:H, $F79)</f>
        <v>0</v>
      </c>
      <c r="N80" s="1627">
        <f>'Outil détaillé'!E$23</f>
        <v>0</v>
      </c>
      <c r="O80" s="1502" cm="1">
        <f t="array" aca="1" ref="O80" ca="1">IFERROR(INDEX('Enveloppe du bâtiment hors terr'!M:M, $F79)*$K80/$M80,0)/$I$1*(1-0.8*N80)</f>
        <v>0</v>
      </c>
      <c r="P80" s="1416">
        <f t="shared" ca="1" si="108"/>
        <v>0</v>
      </c>
      <c r="Q80" s="1416">
        <f t="shared" ca="1" si="108"/>
        <v>0</v>
      </c>
      <c r="R80" s="256" cm="1">
        <f t="array" aca="1" ref="R80" ca="1">_xlfn.SWITCH(L80,R$3,O80+S80,P$3,P80,0)</f>
        <v>0</v>
      </c>
      <c r="S80" s="1410" cm="1">
        <f t="array" aca="1" ref="S80" ca="1">IFERROR(INDEX('Enveloppe du bâtiment hors terr'!N:N, $F79)*$K80/$M80,0)/$I$1*(1-0.8*N80)</f>
        <v>0</v>
      </c>
      <c r="T80" s="1411">
        <f t="shared" ca="1" si="109"/>
        <v>0</v>
      </c>
      <c r="U80" s="1530" cm="1">
        <f t="array" aca="1" ref="U80" ca="1">IFERROR(INDEX('Enveloppe du bâtiment hors terr'!O:O, $F79)*$K80/$M80,0)/$I$1*(1-0.8*N80)</f>
        <v>0</v>
      </c>
      <c r="V80" s="1502" cm="1">
        <f t="array" aca="1" ref="V80" ca="1">IFERROR(INDEX('Enveloppe du bâtiment hors terr'!K:K, $F79)*$K80/$M80,0)/$I$1*(1-0.8*N80)</f>
        <v>0</v>
      </c>
      <c r="W80" s="1416">
        <f t="shared" ca="1" si="110"/>
        <v>0</v>
      </c>
      <c r="X80" s="1416">
        <f t="shared" ca="1" si="110"/>
        <v>0</v>
      </c>
      <c r="Y80" s="256" cm="1">
        <f t="array" aca="1" ref="Y80" ca="1">_xlfn.SWITCH(T80,Y$3,V80+Z80,W$3,W80,0)</f>
        <v>0</v>
      </c>
      <c r="Z80" s="1410" cm="1">
        <f t="array" aca="1" ref="Z80" ca="1">IFERROR(INDEX('Enveloppe du bâtiment hors terr'!L:L, $F79)*$K80/$M80,0)/$I$1*(1-0.8*N80)</f>
        <v>0</v>
      </c>
      <c r="AA80" s="1460">
        <f t="shared" ca="1" si="111"/>
        <v>0</v>
      </c>
      <c r="AB80" s="1460"/>
    </row>
    <row r="81" spans="2:28" ht="15.75">
      <c r="B81" s="1871"/>
      <c r="C81" s="1874"/>
      <c r="D81" s="163" t="str">
        <f>'Outil détaillé'!D24</f>
        <v>Porte</v>
      </c>
      <c r="E81" s="657" t="str">
        <f>'Outil détaillé'!F24</f>
        <v>Porte extérieure</v>
      </c>
      <c r="F81" s="801">
        <f ca="1">MATCH(E81, INDIRECT("'Enveloppe du bâtiment hors terr'!A"&amp;F75+1&amp;":A500"),0)+F75</f>
        <v>117</v>
      </c>
      <c r="G81" s="657"/>
      <c r="H81" s="657"/>
      <c r="I81" s="657"/>
      <c r="J81" s="657" t="s">
        <v>87</v>
      </c>
      <c r="K81" s="658">
        <f>'Outil détaillé'!K24</f>
        <v>2.1</v>
      </c>
      <c r="L81" s="659"/>
      <c r="M81" s="1525"/>
      <c r="N81" s="1629"/>
      <c r="O81" s="1488">
        <f t="shared" ref="O81" ca="1" si="115">SUM(O82:O85)</f>
        <v>2.6381250000000001</v>
      </c>
      <c r="P81" s="1489">
        <f t="shared" ref="P81:U81" ca="1" si="116">SUM(P82:P85)</f>
        <v>0</v>
      </c>
      <c r="Q81" s="1489">
        <f t="shared" ca="1" si="116"/>
        <v>2.8323749999999999</v>
      </c>
      <c r="R81" s="1489">
        <f t="shared" ca="1" si="116"/>
        <v>0</v>
      </c>
      <c r="S81" s="1489">
        <f t="shared" ca="1" si="116"/>
        <v>0.19425000000000001</v>
      </c>
      <c r="T81" s="1489">
        <f t="shared" ca="1" si="116"/>
        <v>5.6647499999999997</v>
      </c>
      <c r="U81" s="1490">
        <f t="shared" ca="1" si="116"/>
        <v>0</v>
      </c>
      <c r="V81" s="1488">
        <f t="shared" ref="V81" ca="1" si="117">SUM(V82:V85)</f>
        <v>11.891250000000001</v>
      </c>
      <c r="W81" s="1489">
        <f t="shared" ref="W81:Z81" ca="1" si="118">SUM(W82:W85)</f>
        <v>0</v>
      </c>
      <c r="X81" s="1489">
        <f t="shared" ca="1" si="118"/>
        <v>11.961337500000001</v>
      </c>
      <c r="Y81" s="1489">
        <f t="shared" ca="1" si="118"/>
        <v>0</v>
      </c>
      <c r="Z81" s="1489">
        <f t="shared" ca="1" si="118"/>
        <v>7.0087499999999997E-2</v>
      </c>
      <c r="AA81" s="1490">
        <f t="shared" ref="AA81" ca="1" si="119">SUM(AA82:AA85)</f>
        <v>23.922675000000002</v>
      </c>
      <c r="AB81" s="1490"/>
    </row>
    <row r="82" spans="2:28" ht="15.75" customHeight="1" outlineLevel="1">
      <c r="B82" s="1871"/>
      <c r="C82" s="1874"/>
      <c r="D82" s="163"/>
      <c r="E82" s="163"/>
      <c r="F82" s="163">
        <f t="shared" ref="F82" ca="1" si="120">IF(I82=0,2,F81+1)</f>
        <v>118</v>
      </c>
      <c r="G82" s="163" t="str" cm="1">
        <f t="array" aca="1" ref="G82" ca="1">INDEX( 'Enveloppe du bâtiment hors terr'!C:C, $F81)</f>
        <v>Aussentüre, Aluminium, Glaseinsatz</v>
      </c>
      <c r="H82" s="163" t="str" cm="1">
        <f t="array" aca="1" ref="H82" ca="1">INDEX( 'Enveloppe du bâtiment hors terr'!D:D, $F81)</f>
        <v>Portes extérieures aluminium, avec vitrage</v>
      </c>
      <c r="I82" s="163" t="str" cm="1">
        <f t="array" aca="1" ref="I82" ca="1">INDEX( 'Enveloppe du bâtiment hors terr'!G:G, $F81)</f>
        <v>12.005</v>
      </c>
      <c r="J82" s="163" t="str">
        <f ca="1">_xlfn.XLOOKUP($I82,'Baumaterialien Matériaux'!A:A,'Baumaterialien Matériaux'!G:G,0,0)</f>
        <v>m2</v>
      </c>
      <c r="K82" s="262">
        <f ca="1">M82*$K$81</f>
        <v>2.1</v>
      </c>
      <c r="L82" s="163" cm="1">
        <f t="array" aca="1" ref="L82" ca="1">INDEX( 'Enveloppe du bâtiment hors terr'!J:J, $F81)</f>
        <v>30</v>
      </c>
      <c r="M82" s="1522" cm="1">
        <f t="array" aca="1" ref="M82" ca="1">INDEX( 'Enveloppe du bâtiment hors terr'!H:H, $F81)</f>
        <v>1</v>
      </c>
      <c r="N82" s="1627">
        <f>'Outil détaillé'!E$24</f>
        <v>0</v>
      </c>
      <c r="O82" s="1502" cm="1">
        <f t="array" aca="1" ref="O82" ca="1">IFERROR(INDEX('Enveloppe du bâtiment hors terr'!M:M, $F81)*$K82/$M82,0)/$I$1*(1-0.8*N82)</f>
        <v>2.6381250000000001</v>
      </c>
      <c r="P82" s="1416">
        <f t="shared" ref="P82:Q85" ca="1" si="121">IF($L82=P$3,$O82+$S82,0)</f>
        <v>0</v>
      </c>
      <c r="Q82" s="1416">
        <f t="shared" ca="1" si="121"/>
        <v>2.8323749999999999</v>
      </c>
      <c r="R82" s="256" cm="1">
        <f t="array" aca="1" ref="R82" ca="1">_xlfn.SWITCH(L82,R$3,O82+S82,P$3,P82,0)</f>
        <v>0</v>
      </c>
      <c r="S82" s="1410" cm="1">
        <f t="array" aca="1" ref="S82" ca="1">IFERROR(INDEX('Enveloppe du bâtiment hors terr'!N:N, $F81)*$K82/$M82,0)/$I$1*(1-0.8*N82)</f>
        <v>0.19425000000000001</v>
      </c>
      <c r="T82" s="1411">
        <f t="shared" ref="T82:T85" ca="1" si="122">SUM(O82:S82)</f>
        <v>5.6647499999999997</v>
      </c>
      <c r="U82" s="1530" cm="1">
        <f t="array" aca="1" ref="U82" ca="1">IFERROR(INDEX('Enveloppe du bâtiment hors terr'!O:O, $F81)*$K82/$M82,0)/$I$1*(1-0.8*N82)</f>
        <v>0</v>
      </c>
      <c r="V82" s="1502" cm="1">
        <f t="array" aca="1" ref="V82" ca="1">IFERROR(INDEX('Enveloppe du bâtiment hors terr'!K:K, $F81)*$K82/$M82,0)/$I$1*(1-0.8*N82)</f>
        <v>11.891250000000001</v>
      </c>
      <c r="W82" s="1416">
        <f t="shared" ref="W82:X85" ca="1" si="123">IF($L82=W$3,$V82+$Z82,0)</f>
        <v>0</v>
      </c>
      <c r="X82" s="1416">
        <f t="shared" ca="1" si="123"/>
        <v>11.961337500000001</v>
      </c>
      <c r="Y82" s="256" cm="1">
        <f t="array" aca="1" ref="Y82" ca="1">_xlfn.SWITCH(T82,Y$3,V82+Z82,W$3,W82,0)</f>
        <v>0</v>
      </c>
      <c r="Z82" s="1410" cm="1">
        <f t="array" aca="1" ref="Z82" ca="1">IFERROR(INDEX('Enveloppe du bâtiment hors terr'!L:L, $F81)*$K82/$M82,0)/$I$1*(1-0.8*N82)</f>
        <v>7.0087499999999997E-2</v>
      </c>
      <c r="AA82" s="1460">
        <f t="shared" ref="AA82:AA85" ca="1" si="124">SUM(V82:Z82)</f>
        <v>23.922675000000002</v>
      </c>
      <c r="AB82" s="1460"/>
    </row>
    <row r="83" spans="2:28" ht="15.75" customHeight="1" outlineLevel="1">
      <c r="B83" s="1871"/>
      <c r="C83" s="1874"/>
      <c r="D83" s="163"/>
      <c r="E83" s="163"/>
      <c r="F83" s="163">
        <f t="shared" ref="F83:F85" ca="1" si="125">IF(I83=0,2,F82+1)</f>
        <v>2</v>
      </c>
      <c r="G83" s="163" cm="1">
        <f t="array" aca="1" ref="G83" ca="1">INDEX( 'Enveloppe du bâtiment hors terr'!C:C, $F82)</f>
        <v>0</v>
      </c>
      <c r="H83" s="163" cm="1">
        <f t="array" aca="1" ref="H83" ca="1">INDEX( 'Enveloppe du bâtiment hors terr'!D:D, $F82)</f>
        <v>0</v>
      </c>
      <c r="I83" s="163" cm="1">
        <f t="array" aca="1" ref="I83" ca="1">INDEX( 'Enveloppe du bâtiment hors terr'!G:G, $F82)</f>
        <v>0</v>
      </c>
      <c r="J83" s="163">
        <f ca="1">_xlfn.XLOOKUP($I83,'Baumaterialien Matériaux'!A:A,'Baumaterialien Matériaux'!G:G,0,0)</f>
        <v>0</v>
      </c>
      <c r="K83" s="262">
        <f t="shared" ref="K83:K85" ca="1" si="126">M83*$K$81</f>
        <v>0</v>
      </c>
      <c r="L83" s="163" cm="1">
        <f t="array" aca="1" ref="L83" ca="1">INDEX( 'Enveloppe du bâtiment hors terr'!J:J, $F82)</f>
        <v>0</v>
      </c>
      <c r="M83" s="1522" cm="1">
        <f t="array" aca="1" ref="M83" ca="1">INDEX( 'Enveloppe du bâtiment hors terr'!H:H, $F82)</f>
        <v>0</v>
      </c>
      <c r="N83" s="1627">
        <f>'Outil détaillé'!E$24</f>
        <v>0</v>
      </c>
      <c r="O83" s="1502" cm="1">
        <f t="array" aca="1" ref="O83" ca="1">IFERROR(INDEX('Enveloppe du bâtiment hors terr'!M:M, $F82)*$K83/$M83,0)/$I$1*(1-0.8*N83)</f>
        <v>0</v>
      </c>
      <c r="P83" s="1416">
        <f t="shared" ca="1" si="121"/>
        <v>0</v>
      </c>
      <c r="Q83" s="1416">
        <f t="shared" ca="1" si="121"/>
        <v>0</v>
      </c>
      <c r="R83" s="256" cm="1">
        <f t="array" aca="1" ref="R83" ca="1">_xlfn.SWITCH(L83,R$3,O83+S83,P$3,P83,0)</f>
        <v>0</v>
      </c>
      <c r="S83" s="1410" cm="1">
        <f t="array" aca="1" ref="S83" ca="1">IFERROR(INDEX('Enveloppe du bâtiment hors terr'!N:N, $F82)*$K83/$M83,0)/$I$1*(1-0.8*N83)</f>
        <v>0</v>
      </c>
      <c r="T83" s="1411">
        <f t="shared" ca="1" si="122"/>
        <v>0</v>
      </c>
      <c r="U83" s="1530" cm="1">
        <f t="array" aca="1" ref="U83" ca="1">IFERROR(INDEX('Enveloppe du bâtiment hors terr'!O:O, $F82)*$K83/$M83,0)/$I$1*(1-0.8*N83)</f>
        <v>0</v>
      </c>
      <c r="V83" s="1502" cm="1">
        <f t="array" aca="1" ref="V83" ca="1">IFERROR(INDEX('Enveloppe du bâtiment hors terr'!K:K, $F82)*$K83/$M83,0)/$I$1*(1-0.8*N83)</f>
        <v>0</v>
      </c>
      <c r="W83" s="1416">
        <f t="shared" ca="1" si="123"/>
        <v>0</v>
      </c>
      <c r="X83" s="1416">
        <f t="shared" ca="1" si="123"/>
        <v>0</v>
      </c>
      <c r="Y83" s="256" cm="1">
        <f t="array" aca="1" ref="Y83" ca="1">_xlfn.SWITCH(T83,Y$3,V83+Z83,W$3,W83,0)</f>
        <v>0</v>
      </c>
      <c r="Z83" s="1410" cm="1">
        <f t="array" aca="1" ref="Z83" ca="1">IFERROR(INDEX('Enveloppe du bâtiment hors terr'!L:L, $F82)*$K83/$M83,0)/$I$1*(1-0.8*N83)</f>
        <v>0</v>
      </c>
      <c r="AA83" s="1460">
        <f t="shared" ca="1" si="124"/>
        <v>0</v>
      </c>
      <c r="AB83" s="1460"/>
    </row>
    <row r="84" spans="2:28" ht="15.75" customHeight="1" outlineLevel="1">
      <c r="B84" s="1871"/>
      <c r="C84" s="1874"/>
      <c r="D84" s="163"/>
      <c r="E84" s="163"/>
      <c r="F84" s="163">
        <f t="shared" ca="1" si="125"/>
        <v>2</v>
      </c>
      <c r="G84" s="163" cm="1">
        <f t="array" aca="1" ref="G84" ca="1">INDEX( 'Enveloppe du bâtiment hors terr'!C:C, $F83)</f>
        <v>0</v>
      </c>
      <c r="H84" s="163" cm="1">
        <f t="array" aca="1" ref="H84" ca="1">INDEX( 'Enveloppe du bâtiment hors terr'!D:D, $F83)</f>
        <v>0</v>
      </c>
      <c r="I84" s="163" cm="1">
        <f t="array" aca="1" ref="I84" ca="1">INDEX( 'Enveloppe du bâtiment hors terr'!G:G, $F83)</f>
        <v>0</v>
      </c>
      <c r="J84" s="163">
        <f ca="1">_xlfn.XLOOKUP($I84,'Baumaterialien Matériaux'!A:A,'Baumaterialien Matériaux'!G:G,0,0)</f>
        <v>0</v>
      </c>
      <c r="K84" s="262">
        <f t="shared" ca="1" si="126"/>
        <v>0</v>
      </c>
      <c r="L84" s="163" cm="1">
        <f t="array" aca="1" ref="L84" ca="1">INDEX( 'Enveloppe du bâtiment hors terr'!J:J, $F83)</f>
        <v>0</v>
      </c>
      <c r="M84" s="1522" cm="1">
        <f t="array" aca="1" ref="M84" ca="1">INDEX( 'Enveloppe du bâtiment hors terr'!H:H, $F83)</f>
        <v>0</v>
      </c>
      <c r="N84" s="1627">
        <f>'Outil détaillé'!E$24</f>
        <v>0</v>
      </c>
      <c r="O84" s="1502" cm="1">
        <f t="array" aca="1" ref="O84" ca="1">IFERROR(INDEX('Enveloppe du bâtiment hors terr'!M:M, $F83)*$K84/$M84,0)/$I$1*(1-0.8*N84)</f>
        <v>0</v>
      </c>
      <c r="P84" s="1416">
        <f t="shared" ca="1" si="121"/>
        <v>0</v>
      </c>
      <c r="Q84" s="1416">
        <f t="shared" ca="1" si="121"/>
        <v>0</v>
      </c>
      <c r="R84" s="256" cm="1">
        <f t="array" aca="1" ref="R84" ca="1">_xlfn.SWITCH(L84,R$3,O84+S84,P$3,P84,0)</f>
        <v>0</v>
      </c>
      <c r="S84" s="1410" cm="1">
        <f t="array" aca="1" ref="S84" ca="1">IFERROR(INDEX('Enveloppe du bâtiment hors terr'!N:N, $F83)*$K84/$M84,0)/$I$1*(1-0.8*N84)</f>
        <v>0</v>
      </c>
      <c r="T84" s="1411">
        <f t="shared" ca="1" si="122"/>
        <v>0</v>
      </c>
      <c r="U84" s="1530" cm="1">
        <f t="array" aca="1" ref="U84" ca="1">IFERROR(INDEX('Enveloppe du bâtiment hors terr'!O:O, $F83)*$K84/$M84,0)/$I$1*(1-0.8*N84)</f>
        <v>0</v>
      </c>
      <c r="V84" s="1502" cm="1">
        <f t="array" aca="1" ref="V84" ca="1">IFERROR(INDEX('Enveloppe du bâtiment hors terr'!K:K, $F83)*$K84/$M84,0)/$I$1*(1-0.8*N84)</f>
        <v>0</v>
      </c>
      <c r="W84" s="1416">
        <f t="shared" ca="1" si="123"/>
        <v>0</v>
      </c>
      <c r="X84" s="1416">
        <f t="shared" ca="1" si="123"/>
        <v>0</v>
      </c>
      <c r="Y84" s="256" cm="1">
        <f t="array" aca="1" ref="Y84" ca="1">_xlfn.SWITCH(T84,Y$3,V84+Z84,W$3,W84,0)</f>
        <v>0</v>
      </c>
      <c r="Z84" s="1410" cm="1">
        <f t="array" aca="1" ref="Z84" ca="1">IFERROR(INDEX('Enveloppe du bâtiment hors terr'!L:L, $F83)*$K84/$M84,0)/$I$1*(1-0.8*N84)</f>
        <v>0</v>
      </c>
      <c r="AA84" s="1460">
        <f t="shared" ca="1" si="124"/>
        <v>0</v>
      </c>
      <c r="AB84" s="1460"/>
    </row>
    <row r="85" spans="2:28" ht="15.75" customHeight="1" outlineLevel="1">
      <c r="B85" s="1871"/>
      <c r="C85" s="1875"/>
      <c r="D85" s="163"/>
      <c r="E85" s="163"/>
      <c r="F85" s="163">
        <f t="shared" ca="1" si="125"/>
        <v>2</v>
      </c>
      <c r="G85" s="163" cm="1">
        <f t="array" aca="1" ref="G85" ca="1">INDEX( 'Enveloppe du bâtiment hors terr'!C:C, $F84)</f>
        <v>0</v>
      </c>
      <c r="H85" s="163" cm="1">
        <f t="array" aca="1" ref="H85" ca="1">INDEX( 'Enveloppe du bâtiment hors terr'!D:D, $F84)</f>
        <v>0</v>
      </c>
      <c r="I85" s="163" cm="1">
        <f t="array" aca="1" ref="I85" ca="1">INDEX( 'Enveloppe du bâtiment hors terr'!G:G, $F84)</f>
        <v>0</v>
      </c>
      <c r="J85" s="163">
        <f ca="1">_xlfn.XLOOKUP($I85,'Baumaterialien Matériaux'!A:A,'Baumaterialien Matériaux'!G:G,0,0)</f>
        <v>0</v>
      </c>
      <c r="K85" s="262">
        <f t="shared" ca="1" si="126"/>
        <v>0</v>
      </c>
      <c r="L85" s="163" cm="1">
        <f t="array" aca="1" ref="L85" ca="1">INDEX( 'Enveloppe du bâtiment hors terr'!J:J, $F84)</f>
        <v>0</v>
      </c>
      <c r="M85" s="1522" cm="1">
        <f t="array" aca="1" ref="M85" ca="1">INDEX( 'Enveloppe du bâtiment hors terr'!H:H, $F84)</f>
        <v>0</v>
      </c>
      <c r="N85" s="1627">
        <f>'Outil détaillé'!E$24</f>
        <v>0</v>
      </c>
      <c r="O85" s="1502" cm="1">
        <f t="array" aca="1" ref="O85" ca="1">IFERROR(INDEX('Enveloppe du bâtiment hors terr'!M:M, $F84)*$K85/$M85,0)/$I$1*(1-0.8*N85)</f>
        <v>0</v>
      </c>
      <c r="P85" s="1416">
        <f t="shared" ca="1" si="121"/>
        <v>0</v>
      </c>
      <c r="Q85" s="1416">
        <f t="shared" ca="1" si="121"/>
        <v>0</v>
      </c>
      <c r="R85" s="256" cm="1">
        <f t="array" aca="1" ref="R85" ca="1">_xlfn.SWITCH(L85,R$3,O85+S85,P$3,P85,0)</f>
        <v>0</v>
      </c>
      <c r="S85" s="1410" cm="1">
        <f t="array" aca="1" ref="S85" ca="1">IFERROR(INDEX('Enveloppe du bâtiment hors terr'!N:N, $F84)*$K85/$M85,0)/$I$1*(1-0.8*N85)</f>
        <v>0</v>
      </c>
      <c r="T85" s="1411">
        <f t="shared" ca="1" si="122"/>
        <v>0</v>
      </c>
      <c r="U85" s="1530" cm="1">
        <f t="array" aca="1" ref="U85" ca="1">IFERROR(INDEX('Enveloppe du bâtiment hors terr'!O:O, $F84)*$K85/$M85,0)/$I$1*(1-0.8*N85)</f>
        <v>0</v>
      </c>
      <c r="V85" s="1502" cm="1">
        <f t="array" aca="1" ref="V85" ca="1">IFERROR(INDEX('Enveloppe du bâtiment hors terr'!K:K, $F84)*$K85/$M85,0)/$I$1*(1-0.8*N85)</f>
        <v>0</v>
      </c>
      <c r="W85" s="1416">
        <f t="shared" ca="1" si="123"/>
        <v>0</v>
      </c>
      <c r="X85" s="1416">
        <f t="shared" ca="1" si="123"/>
        <v>0</v>
      </c>
      <c r="Y85" s="256" cm="1">
        <f t="array" aca="1" ref="Y85" ca="1">_xlfn.SWITCH(T85,Y$3,V85+Z85,W$3,W85,0)</f>
        <v>0</v>
      </c>
      <c r="Z85" s="1410" cm="1">
        <f t="array" aca="1" ref="Z85" ca="1">IFERROR(INDEX('Enveloppe du bâtiment hors terr'!L:L, $F84)*$K85/$M85,0)/$I$1*(1-0.8*N85)</f>
        <v>0</v>
      </c>
      <c r="AA85" s="1460">
        <f t="shared" ca="1" si="124"/>
        <v>0</v>
      </c>
      <c r="AB85" s="1460"/>
    </row>
    <row r="86" spans="2:28" ht="15.75" customHeight="1">
      <c r="B86" s="1871"/>
      <c r="C86" s="1873" t="str">
        <f>'Outil détaillé'!C25</f>
        <v>C04.04 / C04.05</v>
      </c>
      <c r="D86" s="162" t="str">
        <f>'Outil détaillé'!D25</f>
        <v>Toitures (structure porteuse)</v>
      </c>
      <c r="E86" s="162"/>
      <c r="F86" s="162">
        <f>MATCH(D86, 'Enveloppe du bâtiment hors terr'!B:B,0)</f>
        <v>120</v>
      </c>
      <c r="G86" s="162"/>
      <c r="H86" s="162"/>
      <c r="I86" s="162"/>
      <c r="J86" s="162"/>
      <c r="K86" s="265"/>
      <c r="L86" s="264"/>
      <c r="M86" s="1523"/>
      <c r="N86" s="1628"/>
      <c r="O86" s="1503">
        <f t="shared" ref="O86" ca="1" si="127">O87</f>
        <v>9.1114500000000014</v>
      </c>
      <c r="P86" s="1504">
        <f t="shared" ref="P86:AA86" ca="1" si="128">P87</f>
        <v>0</v>
      </c>
      <c r="Q86" s="1504">
        <f t="shared" ca="1" si="128"/>
        <v>0</v>
      </c>
      <c r="R86" s="1504">
        <f t="shared" ca="1" si="128"/>
        <v>0</v>
      </c>
      <c r="S86" s="1504">
        <f t="shared" ca="1" si="128"/>
        <v>2.3454349999999997</v>
      </c>
      <c r="T86" s="1504">
        <f t="shared" ca="1" si="128"/>
        <v>11.456885</v>
      </c>
      <c r="U86" s="1505">
        <f t="shared" ca="1" si="128"/>
        <v>95.891858333333346</v>
      </c>
      <c r="V86" s="1503">
        <f t="shared" ca="1" si="128"/>
        <v>46.613799999999998</v>
      </c>
      <c r="W86" s="1504">
        <f t="shared" ca="1" si="128"/>
        <v>0</v>
      </c>
      <c r="X86" s="1504">
        <f t="shared" ca="1" si="128"/>
        <v>0</v>
      </c>
      <c r="Y86" s="1504">
        <f t="shared" ca="1" si="128"/>
        <v>0</v>
      </c>
      <c r="Z86" s="1504">
        <f t="shared" ca="1" si="128"/>
        <v>5.1823899999999998</v>
      </c>
      <c r="AA86" s="1505">
        <f t="shared" ca="1" si="128"/>
        <v>51.796189999999996</v>
      </c>
      <c r="AB86" s="1505"/>
    </row>
    <row r="87" spans="2:28" ht="15.75">
      <c r="B87" s="1871"/>
      <c r="C87" s="1874"/>
      <c r="D87" s="163" t="str">
        <f>'Outil détaillé'!D26</f>
        <v>Toiture structure</v>
      </c>
      <c r="E87" s="164" t="str">
        <f>'Outil détaillé'!F26</f>
        <v>Plafond en bois massif</v>
      </c>
      <c r="F87" s="164">
        <f ca="1">MATCH(E87, INDIRECT("'Enveloppe du bâtiment hors terr'!A"&amp;F86+1&amp;":A500"),0)+F86</f>
        <v>127</v>
      </c>
      <c r="G87" s="164"/>
      <c r="H87" s="164"/>
      <c r="I87" s="164"/>
      <c r="J87" s="164" t="s">
        <v>87</v>
      </c>
      <c r="K87" s="270">
        <f>'Outil détaillé'!K26</f>
        <v>80</v>
      </c>
      <c r="L87" s="271"/>
      <c r="M87" s="1467"/>
      <c r="N87" s="1623"/>
      <c r="O87" s="1488">
        <f t="shared" ref="O87" ca="1" si="129">SUM(O88:O94)</f>
        <v>9.1114500000000014</v>
      </c>
      <c r="P87" s="1489">
        <f t="shared" ref="P87:U87" ca="1" si="130">SUM(P88:P94)</f>
        <v>0</v>
      </c>
      <c r="Q87" s="1489">
        <f t="shared" ca="1" si="130"/>
        <v>0</v>
      </c>
      <c r="R87" s="1489">
        <f t="shared" ca="1" si="130"/>
        <v>0</v>
      </c>
      <c r="S87" s="1489">
        <f t="shared" ca="1" si="130"/>
        <v>2.3454349999999997</v>
      </c>
      <c r="T87" s="1489">
        <f t="shared" ca="1" si="130"/>
        <v>11.456885</v>
      </c>
      <c r="U87" s="1490">
        <f t="shared" ca="1" si="130"/>
        <v>95.891858333333346</v>
      </c>
      <c r="V87" s="1488">
        <f t="shared" ref="V87" ca="1" si="131">SUM(V88:V94)</f>
        <v>46.613799999999998</v>
      </c>
      <c r="W87" s="1489">
        <f t="shared" ref="W87:Z87" ca="1" si="132">SUM(W88:W94)</f>
        <v>0</v>
      </c>
      <c r="X87" s="1489">
        <f t="shared" ca="1" si="132"/>
        <v>0</v>
      </c>
      <c r="Y87" s="1489">
        <f t="shared" ca="1" si="132"/>
        <v>0</v>
      </c>
      <c r="Z87" s="1489">
        <f t="shared" ca="1" si="132"/>
        <v>5.1823899999999998</v>
      </c>
      <c r="AA87" s="1490">
        <f t="shared" ref="AA87" ca="1" si="133">SUM(AA88:AA94)</f>
        <v>51.796189999999996</v>
      </c>
      <c r="AB87" s="1490"/>
    </row>
    <row r="88" spans="2:28" ht="15.75" customHeight="1" outlineLevel="1">
      <c r="B88" s="1871"/>
      <c r="C88" s="1874"/>
      <c r="D88" s="163"/>
      <c r="E88" s="163"/>
      <c r="F88" s="163">
        <f t="shared" ref="F88" ca="1" si="134">IF(I88=0,2,F87+1)</f>
        <v>128</v>
      </c>
      <c r="G88" s="163" t="str" cm="1">
        <f t="array" aca="1" ref="G88" ca="1">INDEX( 'Enveloppe du bâtiment hors terr'!C:C, $F87)</f>
        <v>3-SP [kg]</v>
      </c>
      <c r="H88" s="163" t="str" cm="1">
        <f t="array" aca="1" ref="H88" ca="1">INDEX( 'Enveloppe du bâtiment hors terr'!D:D, $F87)</f>
        <v>Bois massif 3 et 5 plis</v>
      </c>
      <c r="I88" s="163" t="str" cm="1">
        <f t="array" aca="1" ref="I88" ca="1">INDEX( 'Enveloppe du bâtiment hors terr'!G:G, $F87)</f>
        <v>07.001</v>
      </c>
      <c r="J88" s="163" t="str">
        <f ca="1">_xlfn.XLOOKUP($I88,'Baumaterialien Matériaux'!A:A,'Baumaterialien Matériaux'!G:G,0,0)</f>
        <v>kg</v>
      </c>
      <c r="K88" s="262">
        <f ca="1">M88*$K$87</f>
        <v>752</v>
      </c>
      <c r="L88" s="163" cm="1">
        <f t="array" aca="1" ref="L88" ca="1">INDEX( 'Enveloppe du bâtiment hors terr'!J:J, $F87)</f>
        <v>60</v>
      </c>
      <c r="M88" s="1522" cm="1">
        <f t="array" aca="1" ref="M88" ca="1">INDEX( 'Enveloppe du bâtiment hors terr'!H:H, $F87)</f>
        <v>9.4</v>
      </c>
      <c r="N88" s="1627">
        <f>'Outil détaillé'!E$26</f>
        <v>0</v>
      </c>
      <c r="O88" s="1502" cm="1">
        <f t="array" aca="1" ref="O88" ca="1">IFERROR(INDEX('Enveloppe du bâtiment hors terr'!M:M, $F87)*$K88/$M88,0)/$I$1*(1-0.8*N88)</f>
        <v>1.9457999999999998</v>
      </c>
      <c r="P88" s="1416">
        <f t="shared" ref="P88:Q94" ca="1" si="135">IF($L88=P$3,$O88+$S88,0)</f>
        <v>0</v>
      </c>
      <c r="Q88" s="1416">
        <f t="shared" ca="1" si="135"/>
        <v>0</v>
      </c>
      <c r="R88" s="256" cm="1">
        <f t="array" aca="1" ref="R88" ca="1">_xlfn.SWITCH(L88,R$3,O88+S88,P$3,P88,0)</f>
        <v>0</v>
      </c>
      <c r="S88" s="1410" cm="1">
        <f t="array" aca="1" ref="S88" ca="1">IFERROR(INDEX('Enveloppe du bâtiment hors terr'!N:N, $F87)*$K88/$M88,0)/$I$1*(1-0.8*N88)</f>
        <v>0.25990999999999997</v>
      </c>
      <c r="T88" s="1411">
        <f t="shared" ref="T88:T94" ca="1" si="136">SUM(O88:S88)</f>
        <v>2.2057099999999998</v>
      </c>
      <c r="U88" s="1530" cm="1">
        <f t="array" aca="1" ref="U88" ca="1">IFERROR(INDEX('Enveloppe du bâtiment hors terr'!O:O, $F87)*$K88/$M88,0)/$I$1*(1-0.8*N88)</f>
        <v>7.4620333333333333</v>
      </c>
      <c r="V88" s="1502" cm="1">
        <f t="array" aca="1" ref="V88" ca="1">IFERROR(INDEX('Enveloppe du bâtiment hors terr'!K:K, $F87)*$K88/$M88,0)/$I$1*(1-0.8*N88)</f>
        <v>9.8230000000000004</v>
      </c>
      <c r="W88" s="1416">
        <f t="shared" ref="W88:X94" ca="1" si="137">IF($L88=W$3,$V88+$Z88,0)</f>
        <v>0</v>
      </c>
      <c r="X88" s="1416">
        <f t="shared" ca="1" si="137"/>
        <v>0</v>
      </c>
      <c r="Y88" s="256" cm="1">
        <f t="array" aca="1" ref="Y88" ca="1">_xlfn.SWITCH(T88,Y$3,V88+Z88,W$3,W88,0)</f>
        <v>0</v>
      </c>
      <c r="Z88" s="1410" cm="1">
        <f t="array" aca="1" ref="Z88" ca="1">IFERROR(INDEX('Enveloppe du bâtiment hors terr'!L:L, $F87)*$K88/$M88,0)/$I$1*(1-0.8*N88)</f>
        <v>0.43380999999999997</v>
      </c>
      <c r="AA88" s="1460">
        <f t="shared" ref="AA88:AA94" ca="1" si="138">SUM(V88:Z88)</f>
        <v>10.25681</v>
      </c>
      <c r="AB88" s="1460"/>
    </row>
    <row r="89" spans="2:28" ht="15.75" customHeight="1" outlineLevel="1">
      <c r="B89" s="1871"/>
      <c r="C89" s="1874"/>
      <c r="D89" s="163"/>
      <c r="E89" s="163"/>
      <c r="F89" s="163">
        <f t="shared" ref="F89:F94" ca="1" si="139">IF(I89=0,2,F88+1)</f>
        <v>129</v>
      </c>
      <c r="G89" s="163" t="str" cm="1">
        <f t="array" aca="1" ref="G89" ca="1">INDEX( 'Enveloppe du bâtiment hors terr'!C:C, $F88)</f>
        <v>Nadelschnittholz [kg]</v>
      </c>
      <c r="H89" s="163" t="str" cm="1">
        <f t="array" aca="1" ref="H89" ca="1">INDEX( 'Enveloppe du bâtiment hors terr'!D:D, $F88)</f>
        <v>Bois massif épicéa / sapin / mélèze, séché en cellule, raboté</v>
      </c>
      <c r="I89" s="163" t="str" cm="1">
        <f t="array" aca="1" ref="I89" ca="1">INDEX( 'Enveloppe du bâtiment hors terr'!G:G, $F88)</f>
        <v>07.011</v>
      </c>
      <c r="J89" s="163" t="str">
        <f ca="1">_xlfn.XLOOKUP($I89,'Baumaterialien Matériaux'!A:A,'Baumaterialien Matériaux'!G:G,0,0)</f>
        <v>kg</v>
      </c>
      <c r="K89" s="262">
        <f t="shared" ref="K89:K94" ca="1" si="140">M89*$K$87</f>
        <v>8556</v>
      </c>
      <c r="L89" s="163" cm="1">
        <f t="array" aca="1" ref="L89" ca="1">INDEX( 'Enveloppe du bâtiment hors terr'!J:J, $F88)</f>
        <v>60</v>
      </c>
      <c r="M89" s="1522" cm="1">
        <f t="array" aca="1" ref="M89" ca="1">INDEX( 'Enveloppe du bâtiment hors terr'!H:H, $F88)</f>
        <v>106.95</v>
      </c>
      <c r="N89" s="1627">
        <f>'Outil détaillé'!E$26</f>
        <v>0</v>
      </c>
      <c r="O89" s="1502" cm="1">
        <f t="array" aca="1" ref="O89" ca="1">IFERROR(INDEX('Enveloppe du bâtiment hors terr'!M:M, $F88)*$K89/$M89,0)/$I$1*(1-0.8*N89)</f>
        <v>7.1656500000000012</v>
      </c>
      <c r="P89" s="1416">
        <f t="shared" ca="1" si="135"/>
        <v>0</v>
      </c>
      <c r="Q89" s="1416">
        <f t="shared" ca="1" si="135"/>
        <v>0</v>
      </c>
      <c r="R89" s="256" cm="1">
        <f t="array" aca="1" ref="R89" ca="1">_xlfn.SWITCH(L89,R$3,O89+S89,P$3,P89,0)</f>
        <v>0</v>
      </c>
      <c r="S89" s="1410" cm="1">
        <f t="array" aca="1" ref="S89" ca="1">IFERROR(INDEX('Enveloppe du bâtiment hors terr'!N:N, $F88)*$K89/$M89,0)/$I$1*(1-0.8*N89)</f>
        <v>2.0855249999999996</v>
      </c>
      <c r="T89" s="1411">
        <f t="shared" ca="1" si="136"/>
        <v>9.2511749999999999</v>
      </c>
      <c r="U89" s="1530" cm="1">
        <f t="array" aca="1" ref="U89" ca="1">IFERROR(INDEX('Enveloppe du bâtiment hors terr'!O:O, $F88)*$K89/$M89,0)/$I$1*(1-0.8*N89)</f>
        <v>88.429825000000008</v>
      </c>
      <c r="V89" s="1502" cm="1">
        <f t="array" aca="1" ref="V89" ca="1">IFERROR(INDEX('Enveloppe du bâtiment hors terr'!K:K, $F88)*$K89/$M89,0)/$I$1*(1-0.8*N89)</f>
        <v>36.790799999999997</v>
      </c>
      <c r="W89" s="1416">
        <f t="shared" ca="1" si="137"/>
        <v>0</v>
      </c>
      <c r="X89" s="1416">
        <f t="shared" ca="1" si="137"/>
        <v>0</v>
      </c>
      <c r="Y89" s="256" cm="1">
        <f t="array" aca="1" ref="Y89" ca="1">_xlfn.SWITCH(T89,Y$3,V89+Z89,W$3,W89,0)</f>
        <v>0</v>
      </c>
      <c r="Z89" s="1410" cm="1">
        <f t="array" aca="1" ref="Z89" ca="1">IFERROR(INDEX('Enveloppe du bâtiment hors terr'!L:L, $F88)*$K89/$M89,0)/$I$1*(1-0.8*N89)</f>
        <v>4.7485799999999996</v>
      </c>
      <c r="AA89" s="1460">
        <f t="shared" ca="1" si="138"/>
        <v>41.539379999999994</v>
      </c>
      <c r="AB89" s="1460"/>
    </row>
    <row r="90" spans="2:28" ht="15.75" customHeight="1" outlineLevel="1">
      <c r="B90" s="1871"/>
      <c r="C90" s="1874"/>
      <c r="D90" s="163"/>
      <c r="E90" s="163"/>
      <c r="F90" s="163">
        <f t="shared" ca="1" si="139"/>
        <v>2</v>
      </c>
      <c r="G90" s="163" cm="1">
        <f t="array" aca="1" ref="G90" ca="1">INDEX( 'Enveloppe du bâtiment hors terr'!C:C, $F89)</f>
        <v>0</v>
      </c>
      <c r="H90" s="163" cm="1">
        <f t="array" aca="1" ref="H90" ca="1">INDEX( 'Enveloppe du bâtiment hors terr'!D:D, $F89)</f>
        <v>0</v>
      </c>
      <c r="I90" s="163" cm="1">
        <f t="array" aca="1" ref="I90" ca="1">INDEX( 'Enveloppe du bâtiment hors terr'!G:G, $F89)</f>
        <v>0</v>
      </c>
      <c r="J90" s="163">
        <f ca="1">_xlfn.XLOOKUP($I90,'Baumaterialien Matériaux'!A:A,'Baumaterialien Matériaux'!G:G,0,0)</f>
        <v>0</v>
      </c>
      <c r="K90" s="262">
        <f t="shared" ca="1" si="140"/>
        <v>0</v>
      </c>
      <c r="L90" s="163" cm="1">
        <f t="array" aca="1" ref="L90" ca="1">INDEX( 'Enveloppe du bâtiment hors terr'!J:J, $F89)</f>
        <v>0</v>
      </c>
      <c r="M90" s="1522" cm="1">
        <f t="array" aca="1" ref="M90" ca="1">INDEX( 'Enveloppe du bâtiment hors terr'!H:H, $F89)</f>
        <v>0</v>
      </c>
      <c r="N90" s="1627">
        <f>'Outil détaillé'!E$26</f>
        <v>0</v>
      </c>
      <c r="O90" s="1502" cm="1">
        <f t="array" aca="1" ref="O90" ca="1">IFERROR(INDEX('Enveloppe du bâtiment hors terr'!M:M, $F89)*$K90/$M90,0)/$I$1*(1-0.8*N90)</f>
        <v>0</v>
      </c>
      <c r="P90" s="1416">
        <f t="shared" ca="1" si="135"/>
        <v>0</v>
      </c>
      <c r="Q90" s="1416">
        <f t="shared" ca="1" si="135"/>
        <v>0</v>
      </c>
      <c r="R90" s="256" cm="1">
        <f t="array" aca="1" ref="R90" ca="1">_xlfn.SWITCH(L90,R$3,O90+S90,P$3,P90,0)</f>
        <v>0</v>
      </c>
      <c r="S90" s="1410" cm="1">
        <f t="array" aca="1" ref="S90" ca="1">IFERROR(INDEX('Enveloppe du bâtiment hors terr'!N:N, $F89)*$K90/$M90,0)/$I$1*(1-0.8*N90)</f>
        <v>0</v>
      </c>
      <c r="T90" s="1411">
        <f t="shared" ca="1" si="136"/>
        <v>0</v>
      </c>
      <c r="U90" s="1530" cm="1">
        <f t="array" aca="1" ref="U90" ca="1">IFERROR(INDEX('Enveloppe du bâtiment hors terr'!O:O, $F89)*$K90/$M90,0)/$I$1*(1-0.8*N90)</f>
        <v>0</v>
      </c>
      <c r="V90" s="1502" cm="1">
        <f t="array" aca="1" ref="V90" ca="1">IFERROR(INDEX('Enveloppe du bâtiment hors terr'!K:K, $F89)*$K90/$M90,0)/$I$1*(1-0.8*N90)</f>
        <v>0</v>
      </c>
      <c r="W90" s="1416">
        <f t="shared" ca="1" si="137"/>
        <v>0</v>
      </c>
      <c r="X90" s="1416">
        <f t="shared" ca="1" si="137"/>
        <v>0</v>
      </c>
      <c r="Y90" s="256" cm="1">
        <f t="array" aca="1" ref="Y90" ca="1">_xlfn.SWITCH(T90,Y$3,V90+Z90,W$3,W90,0)</f>
        <v>0</v>
      </c>
      <c r="Z90" s="1410" cm="1">
        <f t="array" aca="1" ref="Z90" ca="1">IFERROR(INDEX('Enveloppe du bâtiment hors terr'!L:L, $F89)*$K90/$M90,0)/$I$1*(1-0.8*N90)</f>
        <v>0</v>
      </c>
      <c r="AA90" s="1460">
        <f t="shared" ca="1" si="138"/>
        <v>0</v>
      </c>
      <c r="AB90" s="1460"/>
    </row>
    <row r="91" spans="2:28" ht="15.75" customHeight="1" outlineLevel="1">
      <c r="B91" s="1871"/>
      <c r="C91" s="1874"/>
      <c r="D91" s="163"/>
      <c r="E91" s="163"/>
      <c r="F91" s="163">
        <f t="shared" ca="1" si="139"/>
        <v>2</v>
      </c>
      <c r="G91" s="163" cm="1">
        <f t="array" aca="1" ref="G91" ca="1">INDEX( 'Enveloppe du bâtiment hors terr'!C:C, $F90)</f>
        <v>0</v>
      </c>
      <c r="H91" s="163" cm="1">
        <f t="array" aca="1" ref="H91" ca="1">INDEX( 'Enveloppe du bâtiment hors terr'!D:D, $F90)</f>
        <v>0</v>
      </c>
      <c r="I91" s="163" cm="1">
        <f t="array" aca="1" ref="I91" ca="1">INDEX( 'Enveloppe du bâtiment hors terr'!G:G, $F90)</f>
        <v>0</v>
      </c>
      <c r="J91" s="163">
        <f ca="1">_xlfn.XLOOKUP($I91,'Baumaterialien Matériaux'!A:A,'Baumaterialien Matériaux'!G:G,0,0)</f>
        <v>0</v>
      </c>
      <c r="K91" s="262">
        <f t="shared" ca="1" si="140"/>
        <v>0</v>
      </c>
      <c r="L91" s="163" cm="1">
        <f t="array" aca="1" ref="L91" ca="1">INDEX( 'Enveloppe du bâtiment hors terr'!J:J, $F90)</f>
        <v>0</v>
      </c>
      <c r="M91" s="1522" cm="1">
        <f t="array" aca="1" ref="M91" ca="1">INDEX( 'Enveloppe du bâtiment hors terr'!H:H, $F90)</f>
        <v>0</v>
      </c>
      <c r="N91" s="1627">
        <f>'Outil détaillé'!E$26</f>
        <v>0</v>
      </c>
      <c r="O91" s="1502" cm="1">
        <f t="array" aca="1" ref="O91" ca="1">IFERROR(INDEX('Enveloppe du bâtiment hors terr'!M:M, $F90)*$K91/$M91,0)/$I$1*(1-0.8*N91)</f>
        <v>0</v>
      </c>
      <c r="P91" s="1416">
        <f t="shared" ca="1" si="135"/>
        <v>0</v>
      </c>
      <c r="Q91" s="1416">
        <f t="shared" ca="1" si="135"/>
        <v>0</v>
      </c>
      <c r="R91" s="256" cm="1">
        <f t="array" aca="1" ref="R91" ca="1">_xlfn.SWITCH(L91,R$3,O91+S91,P$3,P91,0)</f>
        <v>0</v>
      </c>
      <c r="S91" s="1410" cm="1">
        <f t="array" aca="1" ref="S91" ca="1">IFERROR(INDEX('Enveloppe du bâtiment hors terr'!N:N, $F90)*$K91/$M91,0)/$I$1*(1-0.8*N91)</f>
        <v>0</v>
      </c>
      <c r="T91" s="1411">
        <f t="shared" ca="1" si="136"/>
        <v>0</v>
      </c>
      <c r="U91" s="1530" cm="1">
        <f t="array" aca="1" ref="U91" ca="1">IFERROR(INDEX('Enveloppe du bâtiment hors terr'!O:O, $F90)*$K91/$M91,0)/$I$1*(1-0.8*N91)</f>
        <v>0</v>
      </c>
      <c r="V91" s="1502" cm="1">
        <f t="array" aca="1" ref="V91" ca="1">IFERROR(INDEX('Enveloppe du bâtiment hors terr'!K:K, $F90)*$K91/$M91,0)/$I$1*(1-0.8*N91)</f>
        <v>0</v>
      </c>
      <c r="W91" s="1416">
        <f t="shared" ca="1" si="137"/>
        <v>0</v>
      </c>
      <c r="X91" s="1416">
        <f t="shared" ca="1" si="137"/>
        <v>0</v>
      </c>
      <c r="Y91" s="256" cm="1">
        <f t="array" aca="1" ref="Y91" ca="1">_xlfn.SWITCH(T91,Y$3,V91+Z91,W$3,W91,0)</f>
        <v>0</v>
      </c>
      <c r="Z91" s="1410" cm="1">
        <f t="array" aca="1" ref="Z91" ca="1">IFERROR(INDEX('Enveloppe du bâtiment hors terr'!L:L, $F90)*$K91/$M91,0)/$I$1*(1-0.8*N91)</f>
        <v>0</v>
      </c>
      <c r="AA91" s="1460">
        <f t="shared" ca="1" si="138"/>
        <v>0</v>
      </c>
      <c r="AB91" s="1460"/>
    </row>
    <row r="92" spans="2:28" ht="15.75" customHeight="1" outlineLevel="1">
      <c r="B92" s="1871"/>
      <c r="C92" s="1874"/>
      <c r="D92" s="163"/>
      <c r="E92" s="163"/>
      <c r="F92" s="163">
        <f t="shared" ca="1" si="139"/>
        <v>2</v>
      </c>
      <c r="G92" s="163" cm="1">
        <f t="array" aca="1" ref="G92" ca="1">INDEX( 'Enveloppe du bâtiment hors terr'!C:C, $F91)</f>
        <v>0</v>
      </c>
      <c r="H92" s="163" cm="1">
        <f t="array" aca="1" ref="H92" ca="1">INDEX( 'Enveloppe du bâtiment hors terr'!D:D, $F91)</f>
        <v>0</v>
      </c>
      <c r="I92" s="163" cm="1">
        <f t="array" aca="1" ref="I92" ca="1">INDEX( 'Enveloppe du bâtiment hors terr'!G:G, $F91)</f>
        <v>0</v>
      </c>
      <c r="J92" s="163">
        <f ca="1">_xlfn.XLOOKUP($I92,'Baumaterialien Matériaux'!A:A,'Baumaterialien Matériaux'!G:G,0,0)</f>
        <v>0</v>
      </c>
      <c r="K92" s="262">
        <f t="shared" ca="1" si="140"/>
        <v>0</v>
      </c>
      <c r="L92" s="163" cm="1">
        <f t="array" aca="1" ref="L92" ca="1">INDEX( 'Enveloppe du bâtiment hors terr'!J:J, $F91)</f>
        <v>0</v>
      </c>
      <c r="M92" s="1522" cm="1">
        <f t="array" aca="1" ref="M92" ca="1">INDEX( 'Enveloppe du bâtiment hors terr'!H:H, $F91)</f>
        <v>0</v>
      </c>
      <c r="N92" s="1627">
        <f>'Outil détaillé'!E$26</f>
        <v>0</v>
      </c>
      <c r="O92" s="1502" cm="1">
        <f t="array" aca="1" ref="O92" ca="1">IFERROR(INDEX('Enveloppe du bâtiment hors terr'!M:M, $F91)*$K92/$M92,0)/$I$1*(1-0.8*N92)</f>
        <v>0</v>
      </c>
      <c r="P92" s="1416">
        <f t="shared" ca="1" si="135"/>
        <v>0</v>
      </c>
      <c r="Q92" s="1416">
        <f t="shared" ca="1" si="135"/>
        <v>0</v>
      </c>
      <c r="R92" s="256" cm="1">
        <f t="array" aca="1" ref="R92" ca="1">_xlfn.SWITCH(L92,R$3,O92+S92,P$3,P92,0)</f>
        <v>0</v>
      </c>
      <c r="S92" s="1410" cm="1">
        <f t="array" aca="1" ref="S92" ca="1">IFERROR(INDEX('Enveloppe du bâtiment hors terr'!N:N, $F91)*$K92/$M92,0)/$I$1*(1-0.8*N92)</f>
        <v>0</v>
      </c>
      <c r="T92" s="1411">
        <f t="shared" ca="1" si="136"/>
        <v>0</v>
      </c>
      <c r="U92" s="1530" cm="1">
        <f t="array" aca="1" ref="U92" ca="1">IFERROR(INDEX('Enveloppe du bâtiment hors terr'!O:O, $F91)*$K92/$M92,0)/$I$1*(1-0.8*N92)</f>
        <v>0</v>
      </c>
      <c r="V92" s="1502" cm="1">
        <f t="array" aca="1" ref="V92" ca="1">IFERROR(INDEX('Enveloppe du bâtiment hors terr'!K:K, $F91)*$K92/$M92,0)/$I$1*(1-0.8*N92)</f>
        <v>0</v>
      </c>
      <c r="W92" s="1416">
        <f t="shared" ca="1" si="137"/>
        <v>0</v>
      </c>
      <c r="X92" s="1416">
        <f t="shared" ca="1" si="137"/>
        <v>0</v>
      </c>
      <c r="Y92" s="256" cm="1">
        <f t="array" aca="1" ref="Y92" ca="1">_xlfn.SWITCH(T92,Y$3,V92+Z92,W$3,W92,0)</f>
        <v>0</v>
      </c>
      <c r="Z92" s="1410" cm="1">
        <f t="array" aca="1" ref="Z92" ca="1">IFERROR(INDEX('Enveloppe du bâtiment hors terr'!L:L, $F91)*$K92/$M92,0)/$I$1*(1-0.8*N92)</f>
        <v>0</v>
      </c>
      <c r="AA92" s="1460">
        <f t="shared" ca="1" si="138"/>
        <v>0</v>
      </c>
      <c r="AB92" s="1460"/>
    </row>
    <row r="93" spans="2:28" ht="15.75" customHeight="1" outlineLevel="1">
      <c r="B93" s="1871"/>
      <c r="C93" s="1874"/>
      <c r="D93" s="163"/>
      <c r="E93" s="163"/>
      <c r="F93" s="163">
        <f t="shared" ca="1" si="139"/>
        <v>2</v>
      </c>
      <c r="G93" s="163" cm="1">
        <f t="array" aca="1" ref="G93" ca="1">INDEX( 'Enveloppe du bâtiment hors terr'!C:C, $F92)</f>
        <v>0</v>
      </c>
      <c r="H93" s="163" cm="1">
        <f t="array" aca="1" ref="H93" ca="1">INDEX( 'Enveloppe du bâtiment hors terr'!D:D, $F92)</f>
        <v>0</v>
      </c>
      <c r="I93" s="163" cm="1">
        <f t="array" aca="1" ref="I93" ca="1">INDEX( 'Enveloppe du bâtiment hors terr'!G:G, $F92)</f>
        <v>0</v>
      </c>
      <c r="J93" s="163">
        <f ca="1">_xlfn.XLOOKUP($I93,'Baumaterialien Matériaux'!A:A,'Baumaterialien Matériaux'!G:G,0,0)</f>
        <v>0</v>
      </c>
      <c r="K93" s="262">
        <f t="shared" ca="1" si="140"/>
        <v>0</v>
      </c>
      <c r="L93" s="163" cm="1">
        <f t="array" aca="1" ref="L93" ca="1">INDEX( 'Enveloppe du bâtiment hors terr'!J:J, $F92)</f>
        <v>0</v>
      </c>
      <c r="M93" s="1522" cm="1">
        <f t="array" aca="1" ref="M93" ca="1">INDEX( 'Enveloppe du bâtiment hors terr'!H:H, $F92)</f>
        <v>0</v>
      </c>
      <c r="N93" s="1627">
        <f>'Outil détaillé'!E$26</f>
        <v>0</v>
      </c>
      <c r="O93" s="1502" cm="1">
        <f t="array" aca="1" ref="O93" ca="1">IFERROR(INDEX('Enveloppe du bâtiment hors terr'!M:M, $F92)*$K93/$M93,0)/$I$1*(1-0.8*N93)</f>
        <v>0</v>
      </c>
      <c r="P93" s="1416">
        <f t="shared" ca="1" si="135"/>
        <v>0</v>
      </c>
      <c r="Q93" s="1416">
        <f t="shared" ca="1" si="135"/>
        <v>0</v>
      </c>
      <c r="R93" s="256" cm="1">
        <f t="array" aca="1" ref="R93" ca="1">_xlfn.SWITCH(L93,R$3,O93+S93,P$3,P93,0)</f>
        <v>0</v>
      </c>
      <c r="S93" s="1410" cm="1">
        <f t="array" aca="1" ref="S93" ca="1">IFERROR(INDEX('Enveloppe du bâtiment hors terr'!N:N, $F92)*$K93/$M93,0)/$I$1*(1-0.8*N93)</f>
        <v>0</v>
      </c>
      <c r="T93" s="1411">
        <f t="shared" ca="1" si="136"/>
        <v>0</v>
      </c>
      <c r="U93" s="1530" cm="1">
        <f t="array" aca="1" ref="U93" ca="1">IFERROR(INDEX('Enveloppe du bâtiment hors terr'!O:O, $F92)*$K93/$M93,0)/$I$1*(1-0.8*N93)</f>
        <v>0</v>
      </c>
      <c r="V93" s="1502" cm="1">
        <f t="array" aca="1" ref="V93" ca="1">IFERROR(INDEX('Enveloppe du bâtiment hors terr'!K:K, $F92)*$K93/$M93,0)/$I$1*(1-0.8*N93)</f>
        <v>0</v>
      </c>
      <c r="W93" s="1416">
        <f t="shared" ca="1" si="137"/>
        <v>0</v>
      </c>
      <c r="X93" s="1416">
        <f t="shared" ca="1" si="137"/>
        <v>0</v>
      </c>
      <c r="Y93" s="256" cm="1">
        <f t="array" aca="1" ref="Y93" ca="1">_xlfn.SWITCH(T93,Y$3,V93+Z93,W$3,W93,0)</f>
        <v>0</v>
      </c>
      <c r="Z93" s="1410" cm="1">
        <f t="array" aca="1" ref="Z93" ca="1">IFERROR(INDEX('Enveloppe du bâtiment hors terr'!L:L, $F92)*$K93/$M93,0)/$I$1*(1-0.8*N93)</f>
        <v>0</v>
      </c>
      <c r="AA93" s="1460">
        <f t="shared" ca="1" si="138"/>
        <v>0</v>
      </c>
      <c r="AB93" s="1460"/>
    </row>
    <row r="94" spans="2:28" ht="15.75" customHeight="1" outlineLevel="1">
      <c r="B94" s="1871"/>
      <c r="C94" s="1875"/>
      <c r="D94" s="163"/>
      <c r="E94" s="163"/>
      <c r="F94" s="163">
        <f t="shared" ca="1" si="139"/>
        <v>2</v>
      </c>
      <c r="G94" s="163" cm="1">
        <f t="array" aca="1" ref="G94" ca="1">INDEX( 'Enveloppe du bâtiment hors terr'!C:C, $F93)</f>
        <v>0</v>
      </c>
      <c r="H94" s="163" cm="1">
        <f t="array" aca="1" ref="H94" ca="1">INDEX( 'Enveloppe du bâtiment hors terr'!D:D, $F93)</f>
        <v>0</v>
      </c>
      <c r="I94" s="163" cm="1">
        <f t="array" aca="1" ref="I94" ca="1">INDEX( 'Enveloppe du bâtiment hors terr'!G:G, $F93)</f>
        <v>0</v>
      </c>
      <c r="J94" s="163">
        <f ca="1">_xlfn.XLOOKUP($I94,'Baumaterialien Matériaux'!A:A,'Baumaterialien Matériaux'!G:G,0,0)</f>
        <v>0</v>
      </c>
      <c r="K94" s="262">
        <f t="shared" ca="1" si="140"/>
        <v>0</v>
      </c>
      <c r="L94" s="163" cm="1">
        <f t="array" aca="1" ref="L94" ca="1">INDEX( 'Enveloppe du bâtiment hors terr'!J:J, $F93)</f>
        <v>0</v>
      </c>
      <c r="M94" s="1522" cm="1">
        <f t="array" aca="1" ref="M94" ca="1">INDEX( 'Enveloppe du bâtiment hors terr'!H:H, $F93)</f>
        <v>0</v>
      </c>
      <c r="N94" s="1627">
        <f>'Outil détaillé'!E$26</f>
        <v>0</v>
      </c>
      <c r="O94" s="1502" cm="1">
        <f t="array" aca="1" ref="O94" ca="1">IFERROR(INDEX('Enveloppe du bâtiment hors terr'!M:M, $F93)*$K94/$M94,0)/$I$1*(1-0.8*N94)</f>
        <v>0</v>
      </c>
      <c r="P94" s="1416">
        <f t="shared" ca="1" si="135"/>
        <v>0</v>
      </c>
      <c r="Q94" s="1416">
        <f t="shared" ca="1" si="135"/>
        <v>0</v>
      </c>
      <c r="R94" s="256" cm="1">
        <f t="array" aca="1" ref="R94" ca="1">_xlfn.SWITCH(L94,R$3,O94+S94,P$3,P94,0)</f>
        <v>0</v>
      </c>
      <c r="S94" s="1410" cm="1">
        <f t="array" aca="1" ref="S94" ca="1">IFERROR(INDEX('Enveloppe du bâtiment hors terr'!N:N, $F93)*$K94/$M94,0)/$I$1*(1-0.8*N94)</f>
        <v>0</v>
      </c>
      <c r="T94" s="1411">
        <f t="shared" ca="1" si="136"/>
        <v>0</v>
      </c>
      <c r="U94" s="1530" cm="1">
        <f t="array" aca="1" ref="U94" ca="1">IFERROR(INDEX('Enveloppe du bâtiment hors terr'!O:O, $F93)*$K94/$M94,0)/$I$1*(1-0.8*N94)</f>
        <v>0</v>
      </c>
      <c r="V94" s="1502" cm="1">
        <f t="array" aca="1" ref="V94" ca="1">IFERROR(INDEX('Enveloppe du bâtiment hors terr'!K:K, $F93)*$K94/$M94,0)/$I$1*(1-0.8*N94)</f>
        <v>0</v>
      </c>
      <c r="W94" s="1416">
        <f t="shared" ca="1" si="137"/>
        <v>0</v>
      </c>
      <c r="X94" s="1416">
        <f t="shared" ca="1" si="137"/>
        <v>0</v>
      </c>
      <c r="Y94" s="256" cm="1">
        <f t="array" aca="1" ref="Y94" ca="1">_xlfn.SWITCH(T94,Y$3,V94+Z94,W$3,W94,0)</f>
        <v>0</v>
      </c>
      <c r="Z94" s="1410" cm="1">
        <f t="array" aca="1" ref="Z94" ca="1">IFERROR(INDEX('Enveloppe du bâtiment hors terr'!L:L, $F93)*$K94/$M94,0)/$I$1*(1-0.8*N94)</f>
        <v>0</v>
      </c>
      <c r="AA94" s="1460">
        <f t="shared" ca="1" si="138"/>
        <v>0</v>
      </c>
      <c r="AB94" s="1460"/>
    </row>
    <row r="95" spans="2:28" ht="15.75" customHeight="1">
      <c r="B95" s="1871"/>
      <c r="C95" s="1873" t="str">
        <f>'Outil détaillé'!C27</f>
        <v>F01.02 / F01.03</v>
      </c>
      <c r="D95" s="162" t="str">
        <f>'Outil détaillé'!D27</f>
        <v>Couvertures</v>
      </c>
      <c r="E95" s="162"/>
      <c r="F95" s="162">
        <f>MATCH(D95, 'Enveloppe du bâtiment hors terr'!B:B,0)</f>
        <v>155</v>
      </c>
      <c r="G95" s="162"/>
      <c r="H95" s="162"/>
      <c r="I95" s="162"/>
      <c r="J95" s="162"/>
      <c r="K95" s="265"/>
      <c r="L95" s="264"/>
      <c r="M95" s="1523"/>
      <c r="N95" s="1628"/>
      <c r="O95" s="1503">
        <f t="shared" ref="O95:AA95" ca="1" si="141">O96+O106</f>
        <v>22.957028032692101</v>
      </c>
      <c r="P95" s="1504">
        <f t="shared" ca="1" si="141"/>
        <v>0</v>
      </c>
      <c r="Q95" s="1504">
        <f t="shared" ca="1" si="141"/>
        <v>0</v>
      </c>
      <c r="R95" s="1504">
        <f t="shared" ca="1" si="141"/>
        <v>24.715204250260285</v>
      </c>
      <c r="S95" s="1504">
        <f t="shared" ca="1" si="141"/>
        <v>1.7581762175681837</v>
      </c>
      <c r="T95" s="1504">
        <f t="shared" ca="1" si="141"/>
        <v>49.430408500520571</v>
      </c>
      <c r="U95" s="1505">
        <f t="shared" ca="1" si="141"/>
        <v>1.4009295740035657</v>
      </c>
      <c r="V95" s="1503">
        <f t="shared" ca="1" si="141"/>
        <v>82.699856995136656</v>
      </c>
      <c r="W95" s="1504">
        <f t="shared" ca="1" si="141"/>
        <v>0</v>
      </c>
      <c r="X95" s="1504">
        <f t="shared" ca="1" si="141"/>
        <v>0</v>
      </c>
      <c r="Y95" s="1504">
        <f t="shared" ca="1" si="141"/>
        <v>0</v>
      </c>
      <c r="Z95" s="1504">
        <f t="shared" ca="1" si="141"/>
        <v>3.560363639878882</v>
      </c>
      <c r="AA95" s="1505">
        <f t="shared" ca="1" si="141"/>
        <v>86.260220635015543</v>
      </c>
      <c r="AB95" s="1505"/>
    </row>
    <row r="96" spans="2:28" ht="15.75">
      <c r="B96" s="1871"/>
      <c r="C96" s="1874"/>
      <c r="D96" s="163" t="str">
        <f>'Outil détaillé'!D28</f>
        <v>Toiture couverture</v>
      </c>
      <c r="E96" s="164" t="str">
        <f>'Outil détaillé'!F28</f>
        <v>Toiture inclinée</v>
      </c>
      <c r="F96" s="164">
        <f ca="1">MATCH(E96, INDIRECT("'Enveloppe du bâtiment hors terr'!A"&amp;F95+1&amp;":A500"),0)+F95</f>
        <v>165</v>
      </c>
      <c r="G96" s="164"/>
      <c r="H96" s="164"/>
      <c r="I96" s="164"/>
      <c r="J96" s="164" t="s">
        <v>87</v>
      </c>
      <c r="K96" s="270">
        <f>'Outil détaillé'!K28</f>
        <v>92.376043070340117</v>
      </c>
      <c r="L96" s="271"/>
      <c r="M96" s="1467"/>
      <c r="N96" s="1623"/>
      <c r="O96" s="1488">
        <f ca="1">SUM(O97:O104)</f>
        <v>11.943263357523124</v>
      </c>
      <c r="P96" s="1489">
        <f t="shared" ref="P96:U96" ca="1" si="142">SUM(P97:P104)</f>
        <v>0</v>
      </c>
      <c r="Q96" s="1489">
        <f t="shared" ca="1" si="142"/>
        <v>0</v>
      </c>
      <c r="R96" s="1489">
        <f t="shared" ca="1" si="142"/>
        <v>12.84012534950346</v>
      </c>
      <c r="S96" s="1489">
        <f t="shared" ca="1" si="142"/>
        <v>0.89686199198033212</v>
      </c>
      <c r="T96" s="1489">
        <f t="shared" ca="1" si="142"/>
        <v>25.680250699006919</v>
      </c>
      <c r="U96" s="1490">
        <f t="shared" ca="1" si="142"/>
        <v>1.4009295740035657</v>
      </c>
      <c r="V96" s="1488">
        <f ca="1">SUM(V97:V104)</f>
        <v>37.597253966043098</v>
      </c>
      <c r="W96" s="1489">
        <f t="shared" ref="W96:Z96" ca="1" si="143">SUM(W97:W104)</f>
        <v>0</v>
      </c>
      <c r="X96" s="1489">
        <f t="shared" ca="1" si="143"/>
        <v>0</v>
      </c>
      <c r="Y96" s="1489">
        <f t="shared" ca="1" si="143"/>
        <v>0</v>
      </c>
      <c r="Z96" s="1489">
        <f t="shared" ca="1" si="143"/>
        <v>1.6253164776629327</v>
      </c>
      <c r="AA96" s="1490">
        <f t="shared" ref="AA96" ca="1" si="144">SUM(AA97:AA104)</f>
        <v>39.222570443706033</v>
      </c>
      <c r="AB96" s="1490"/>
    </row>
    <row r="97" spans="2:28" ht="15.75" customHeight="1" outlineLevel="1">
      <c r="B97" s="1871"/>
      <c r="C97" s="1874"/>
      <c r="D97" s="163"/>
      <c r="E97" s="163"/>
      <c r="F97" s="163">
        <f t="shared" ref="F97" ca="1" si="145">IF(I97=0,2,F96+1)</f>
        <v>166</v>
      </c>
      <c r="G97" s="163" t="str" cm="1">
        <f t="array" aca="1" ref="G97" ca="1">INDEX( 'Enveloppe du bâtiment hors terr'!C:C, $F96)</f>
        <v>Konter- und Ziegellattung aus Nadelschnittholz [kg]</v>
      </c>
      <c r="H97" s="163" t="str" cm="1">
        <f t="array" aca="1" ref="H97" ca="1">INDEX( 'Enveloppe du bâtiment hors terr'!D:D, $F96)</f>
        <v>Bois massif épicéa / sapin / mélèze, séché à l'air, brut</v>
      </c>
      <c r="I97" s="163" t="str" cm="1">
        <f t="array" aca="1" ref="I97" ca="1">INDEX( 'Enveloppe du bâtiment hors terr'!G:G, $F96)</f>
        <v>07.009</v>
      </c>
      <c r="J97" s="163" t="str">
        <f ca="1">_xlfn.XLOOKUP($I97,'Baumaterialien Matériaux'!A:A,'Baumaterialien Matériaux'!G:G,0,0)</f>
        <v>kg</v>
      </c>
      <c r="K97" s="262">
        <f ca="1">M97*$K$96</f>
        <v>148.01809278488039</v>
      </c>
      <c r="L97" s="163" cm="1">
        <f t="array" aca="1" ref="L97" ca="1">INDEX( 'Enveloppe du bâtiment hors terr'!J:J, $F96)</f>
        <v>40</v>
      </c>
      <c r="M97" s="1522" cm="1">
        <f t="array" aca="1" ref="M97" ca="1">INDEX( 'Enveloppe du bâtiment hors terr'!H:H, $F96)</f>
        <v>1.6023428571428571</v>
      </c>
      <c r="N97" s="1627">
        <f>'Outil détaillé'!E$28</f>
        <v>0</v>
      </c>
      <c r="O97" s="1502" cm="1">
        <f t="array" aca="1" ref="O97" ca="1">IFERROR(INDEX('Enveloppe du bâtiment hors terr'!M:M, $F96)*$K97/$M97,0)/$I$1*(1-0.8*N97)</f>
        <v>8.3630222423457426E-2</v>
      </c>
      <c r="P97" s="1416">
        <f t="shared" ref="P97:Q104" ca="1" si="146">IF($L97=P$3,$O97+$S97,0)</f>
        <v>0</v>
      </c>
      <c r="Q97" s="1416">
        <f t="shared" ca="1" si="146"/>
        <v>0</v>
      </c>
      <c r="R97" s="256" cm="1">
        <f t="array" aca="1" ref="R97" ca="1">_xlfn.SWITCH(L97,R$3,O97+S97,P$3,P97,0)</f>
        <v>0.11970963253977202</v>
      </c>
      <c r="S97" s="1410" cm="1">
        <f t="array" aca="1" ref="S97" ca="1">IFERROR(INDEX('Enveloppe du bâtiment hors terr'!N:N, $F96)*$K97/$M97,0)/$I$1*(1-0.8*N97)</f>
        <v>3.6079410116314596E-2</v>
      </c>
      <c r="T97" s="1411">
        <f t="shared" ref="T97:T104" ca="1" si="147">SUM(O97:S97)</f>
        <v>0.23941926507954403</v>
      </c>
      <c r="U97" s="1530" cm="1">
        <f t="array" aca="1" ref="U97" ca="1">IFERROR(INDEX('Enveloppe du bâtiment hors terr'!O:O, $F96)*$K97/$M97,0)/$I$1*(1-0.8*N97)</f>
        <v>1.4009295740035657</v>
      </c>
      <c r="V97" s="1502" cm="1">
        <f t="array" aca="1" ref="V97" ca="1">IFERROR(INDEX('Enveloppe du bâtiment hors terr'!K:K, $F96)*$K97/$M97,0)/$I$1*(1-0.8*N97)</f>
        <v>0.38947260664021655</v>
      </c>
      <c r="W97" s="1416">
        <f t="shared" ref="W97:X104" ca="1" si="148">IF($L97=W$3,$V97+$Z97,0)</f>
        <v>0</v>
      </c>
      <c r="X97" s="1416">
        <f t="shared" ca="1" si="148"/>
        <v>0</v>
      </c>
      <c r="Y97" s="256" cm="1">
        <f t="array" aca="1" ref="Y97" ca="1">_xlfn.SWITCH(T97,Y$3,V97+Z97,W$3,W97,0)</f>
        <v>0</v>
      </c>
      <c r="Z97" s="1410" cm="1">
        <f t="array" aca="1" ref="Z97" ca="1">IFERROR(INDEX('Enveloppe du bâtiment hors terr'!L:L, $F96)*$K97/$M97,0)/$I$1*(1-0.8*N97)</f>
        <v>8.2150041495608631E-2</v>
      </c>
      <c r="AA97" s="1460">
        <f t="shared" ref="AA97:AA104" ca="1" si="149">SUM(V97:Z97)</f>
        <v>0.47162264813582516</v>
      </c>
      <c r="AB97" s="1460"/>
    </row>
    <row r="98" spans="2:28" ht="15.75" customHeight="1" outlineLevel="1">
      <c r="B98" s="1871"/>
      <c r="C98" s="1874"/>
      <c r="D98" s="163"/>
      <c r="E98" s="163"/>
      <c r="F98" s="163">
        <f t="shared" ref="F98:F104" ca="1" si="150">IF(I98=0,2,F97+1)</f>
        <v>167</v>
      </c>
      <c r="G98" s="163" t="str" cm="1">
        <f t="array" aca="1" ref="G98" ca="1">INDEX( 'Enveloppe du bâtiment hors terr'!C:C, $F97)</f>
        <v>Unterdachfolie: PP-Vlies [kg]</v>
      </c>
      <c r="H98" s="163" t="str" cm="1">
        <f t="array" aca="1" ref="H98" ca="1">INDEX( 'Enveloppe du bâtiment hors terr'!D:D, $F97)</f>
        <v>Voile de polyéthylène (PE)</v>
      </c>
      <c r="I98" s="163" t="str" cm="1">
        <f t="array" aca="1" ref="I98" ca="1">INDEX( 'Enveloppe du bâtiment hors terr'!G:G, $F97)</f>
        <v>09.008</v>
      </c>
      <c r="J98" s="163" t="str">
        <f ca="1">_xlfn.XLOOKUP($I98,'Baumaterialien Matériaux'!A:A,'Baumaterialien Matériaux'!G:G,0,0)</f>
        <v>kg</v>
      </c>
      <c r="K98" s="262">
        <f t="shared" ref="K98:K104" ca="1" si="151">M98*$K$96</f>
        <v>12.932646029847618</v>
      </c>
      <c r="L98" s="163" cm="1">
        <f t="array" aca="1" ref="L98" ca="1">INDEX( 'Enveloppe du bâtiment hors terr'!J:J, $F97)</f>
        <v>40</v>
      </c>
      <c r="M98" s="1522" cm="1">
        <f t="array" aca="1" ref="M98" ca="1">INDEX( 'Enveloppe du bâtiment hors terr'!H:H, $F97)</f>
        <v>0.14000000000000001</v>
      </c>
      <c r="N98" s="1627">
        <f>'Outil détaillé'!E$28</f>
        <v>0</v>
      </c>
      <c r="O98" s="1502" cm="1">
        <f t="array" aca="1" ref="O98" ca="1">IFERROR(INDEX('Enveloppe du bâtiment hors terr'!M:M, $F97)*$K98/$M98,0)/$I$1*(1-0.8*N98)</f>
        <v>0.23925395155218093</v>
      </c>
      <c r="P98" s="1416">
        <f t="shared" ca="1" si="146"/>
        <v>0</v>
      </c>
      <c r="Q98" s="1416">
        <f t="shared" ca="1" si="146"/>
        <v>0</v>
      </c>
      <c r="R98" s="256" cm="1">
        <f t="array" aca="1" ref="R98" ca="1">_xlfn.SWITCH(L98,R$3,O98+S98,P$3,P98,0)</f>
        <v>0.45506748217526305</v>
      </c>
      <c r="S98" s="1410" cm="1">
        <f t="array" aca="1" ref="S98" ca="1">IFERROR(INDEX('Enveloppe du bâtiment hors terr'!N:N, $F97)*$K98/$M98,0)/$I$1*(1-0.8*N98)</f>
        <v>0.21581353062308209</v>
      </c>
      <c r="T98" s="1411">
        <f t="shared" ca="1" si="147"/>
        <v>0.91013496435052599</v>
      </c>
      <c r="U98" s="1530" cm="1">
        <f t="array" aca="1" ref="U98" ca="1">IFERROR(INDEX('Enveloppe du bâtiment hors terr'!O:O, $F97)*$K98/$M98,0)/$I$1*(1-0.8*N98)</f>
        <v>0</v>
      </c>
      <c r="V98" s="1502" cm="1">
        <f t="array" aca="1" ref="V98" ca="1">IFERROR(INDEX('Enveloppe du bâtiment hors terr'!K:K, $F97)*$K98/$M98,0)/$I$1*(1-0.8*N98)</f>
        <v>2.0773062685442736</v>
      </c>
      <c r="W98" s="1416">
        <f t="shared" ca="1" si="148"/>
        <v>0</v>
      </c>
      <c r="X98" s="1416">
        <f t="shared" ca="1" si="148"/>
        <v>0</v>
      </c>
      <c r="Y98" s="256" cm="1">
        <f t="array" aca="1" ref="Y98" ca="1">_xlfn.SWITCH(T98,Y$3,V98+Z98,W$3,W98,0)</f>
        <v>0</v>
      </c>
      <c r="Z98" s="1410" cm="1">
        <f t="array" aca="1" ref="Z98" ca="1">IFERROR(INDEX('Enveloppe du bâtiment hors terr'!L:L, $F97)*$K98/$M98,0)/$I$1*(1-0.8*N98)</f>
        <v>1.6893268876488451E-2</v>
      </c>
      <c r="AA98" s="1460">
        <f t="shared" ca="1" si="149"/>
        <v>2.0941995374207618</v>
      </c>
      <c r="AB98" s="1460"/>
    </row>
    <row r="99" spans="2:28" ht="15.75" customHeight="1" outlineLevel="1">
      <c r="B99" s="1871"/>
      <c r="C99" s="1874"/>
      <c r="D99" s="163"/>
      <c r="E99" s="163"/>
      <c r="F99" s="163">
        <f t="shared" ca="1" si="150"/>
        <v>168</v>
      </c>
      <c r="G99" s="163" t="str" cm="1">
        <f t="array" aca="1" ref="G99" ca="1">INDEX( 'Enveloppe du bâtiment hors terr'!C:C, $F98)</f>
        <v>Ziegeleindeckeung [kg]</v>
      </c>
      <c r="H99" s="163" t="str" cm="1">
        <f t="array" aca="1" ref="H99" ca="1">INDEX( 'Enveloppe du bâtiment hors terr'!D:D, $F98)</f>
        <v>Tuile en terre cuite</v>
      </c>
      <c r="I99" s="163" t="str" cm="1">
        <f t="array" aca="1" ref="I99" ca="1">INDEX( 'Enveloppe du bâtiment hors terr'!G:G, $F98)</f>
        <v>03.015</v>
      </c>
      <c r="J99" s="163" t="str">
        <f ca="1">_xlfn.XLOOKUP($I99,'Baumaterialien Matériaux'!A:A,'Baumaterialien Matériaux'!G:G,0,0)</f>
        <v>kg</v>
      </c>
      <c r="K99" s="262">
        <f t="shared" ca="1" si="151"/>
        <v>4618.8021535170055</v>
      </c>
      <c r="L99" s="163" cm="1">
        <f t="array" aca="1" ref="L99" ca="1">INDEX( 'Enveloppe du bâtiment hors terr'!J:J, $F98)</f>
        <v>40</v>
      </c>
      <c r="M99" s="1522" cm="1">
        <f t="array" aca="1" ref="M99" ca="1">INDEX( 'Enveloppe du bâtiment hors terr'!H:H, $F98)</f>
        <v>50</v>
      </c>
      <c r="N99" s="1627">
        <f>'Outil détaillé'!E$28</f>
        <v>0</v>
      </c>
      <c r="O99" s="1502" cm="1">
        <f t="array" aca="1" ref="O99" ca="1">IFERROR(INDEX('Enveloppe du bâtiment hors terr'!M:M, $F98)*$K99/$M99,0)/$I$1*(1-0.8*N99)</f>
        <v>10.767582520386519</v>
      </c>
      <c r="P99" s="1416">
        <f t="shared" ca="1" si="146"/>
        <v>0</v>
      </c>
      <c r="Q99" s="1416">
        <f t="shared" ca="1" si="146"/>
        <v>0</v>
      </c>
      <c r="R99" s="256" cm="1">
        <f t="array" aca="1" ref="R99" ca="1">_xlfn.SWITCH(L99,R$3,O99+S99,P$3,P99,0)</f>
        <v>11.134199941321931</v>
      </c>
      <c r="S99" s="1410" cm="1">
        <f t="array" aca="1" ref="S99" ca="1">IFERROR(INDEX('Enveloppe du bâtiment hors terr'!N:N, $F98)*$K99/$M99,0)/$I$1*(1-0.8*N99)</f>
        <v>0.36661742093541233</v>
      </c>
      <c r="T99" s="1411">
        <f t="shared" ca="1" si="147"/>
        <v>22.268399882643862</v>
      </c>
      <c r="U99" s="1530" cm="1">
        <f t="array" aca="1" ref="U99" ca="1">IFERROR(INDEX('Enveloppe du bâtiment hors terr'!O:O, $F98)*$K99/$M99,0)/$I$1*(1-0.8*N99)</f>
        <v>0</v>
      </c>
      <c r="V99" s="1502" cm="1">
        <f t="array" aca="1" ref="V99" ca="1">IFERROR(INDEX('Enveloppe du bâtiment hors terr'!K:K, $F98)*$K99/$M99,0)/$I$1*(1-0.8*N99)</f>
        <v>30.599564267050162</v>
      </c>
      <c r="W99" s="1416">
        <f t="shared" ca="1" si="148"/>
        <v>0</v>
      </c>
      <c r="X99" s="1416">
        <f t="shared" ca="1" si="148"/>
        <v>0</v>
      </c>
      <c r="Y99" s="256" cm="1">
        <f t="array" aca="1" ref="Y99" ca="1">_xlfn.SWITCH(T99,Y$3,V99+Z99,W$3,W99,0)</f>
        <v>0</v>
      </c>
      <c r="Z99" s="1410" cm="1">
        <f t="array" aca="1" ref="Z99" ca="1">IFERROR(INDEX('Enveloppe du bâtiment hors terr'!L:L, $F98)*$K99/$M99,0)/$I$1*(1-0.8*N99)</f>
        <v>1.5011106998930268</v>
      </c>
      <c r="AA99" s="1460">
        <f t="shared" ca="1" si="149"/>
        <v>32.100674966943188</v>
      </c>
      <c r="AB99" s="1460"/>
    </row>
    <row r="100" spans="2:28" ht="15.75" customHeight="1" outlineLevel="1">
      <c r="B100" s="1871"/>
      <c r="C100" s="1874"/>
      <c r="D100" s="163"/>
      <c r="E100" s="163"/>
      <c r="F100" s="163">
        <f t="shared" ca="1" si="150"/>
        <v>169</v>
      </c>
      <c r="G100" s="163" t="str" cm="1">
        <f t="array" aca="1" ref="G100" ca="1">INDEX( 'Enveloppe du bâtiment hors terr'!C:C, $F99)</f>
        <v>Befestigung mit verzinkten Stahlschrauben [kg]</v>
      </c>
      <c r="H100" s="163" t="str" cm="1">
        <f t="array" aca="1" ref="H100" ca="1">INDEX( 'Enveloppe du bâtiment hors terr'!D:D, $F99)</f>
        <v>Tôle d'acier, zinguée</v>
      </c>
      <c r="I100" s="163" t="str" cm="1">
        <f t="array" aca="1" ref="I100" ca="1">INDEX( 'Enveloppe du bâtiment hors terr'!G:G, $F99)</f>
        <v>06.011</v>
      </c>
      <c r="J100" s="163" t="str">
        <f ca="1">_xlfn.XLOOKUP($I100,'Baumaterialien Matériaux'!A:A,'Baumaterialien Matériaux'!G:G,0,0)</f>
        <v>kg</v>
      </c>
      <c r="K100" s="262">
        <f t="shared" ca="1" si="151"/>
        <v>20.250295711146581</v>
      </c>
      <c r="L100" s="163" cm="1">
        <f t="array" aca="1" ref="L100" ca="1">INDEX( 'Enveloppe du bâtiment hors terr'!J:J, $F99)</f>
        <v>40</v>
      </c>
      <c r="M100" s="1522" cm="1">
        <f t="array" aca="1" ref="M100" ca="1">INDEX( 'Enveloppe du bâtiment hors terr'!H:H, $F99)</f>
        <v>0.21921588150000007</v>
      </c>
      <c r="N100" s="1627">
        <f>'Outil détaillé'!E$28</f>
        <v>0</v>
      </c>
      <c r="O100" s="1502" cm="1">
        <f t="array" aca="1" ref="O100" ca="1">IFERROR(INDEX('Enveloppe du bâtiment hors terr'!M:M, $F99)*$K100/$M100,0)/$I$1*(1-0.8*N100)</f>
        <v>0.56700827991210434</v>
      </c>
      <c r="P100" s="1416">
        <f t="shared" ca="1" si="146"/>
        <v>0</v>
      </c>
      <c r="Q100" s="1416">
        <f t="shared" ca="1" si="146"/>
        <v>0</v>
      </c>
      <c r="R100" s="256" cm="1">
        <f t="array" aca="1" ref="R100" ca="1">_xlfn.SWITCH(L100,R$3,O100+S100,P$3,P100,0)</f>
        <v>0.56788537084509338</v>
      </c>
      <c r="S100" s="1410" cm="1">
        <f t="array" aca="1" ref="S100" ca="1">IFERROR(INDEX('Enveloppe du bâtiment hors terr'!N:N, $F99)*$K100/$M100,0)/$I$1*(1-0.8*N100)</f>
        <v>8.7709093298903636E-4</v>
      </c>
      <c r="T100" s="1411">
        <f t="shared" ca="1" si="147"/>
        <v>1.1357707416901868</v>
      </c>
      <c r="U100" s="1530" cm="1">
        <f t="array" aca="1" ref="U100" ca="1">IFERROR(INDEX('Enveloppe du bâtiment hors terr'!O:O, $F99)*$K100/$M100,0)/$I$1*(1-0.8*N100)</f>
        <v>0</v>
      </c>
      <c r="V100" s="1502" cm="1">
        <f t="array" aca="1" ref="V100" ca="1">IFERROR(INDEX('Enveloppe du bâtiment hors terr'!K:K, $F99)*$K100/$M100,0)/$I$1*(1-0.8*N100)</f>
        <v>1.9744038318367916</v>
      </c>
      <c r="W100" s="1416">
        <f t="shared" ca="1" si="148"/>
        <v>0</v>
      </c>
      <c r="X100" s="1416">
        <f t="shared" ca="1" si="148"/>
        <v>0</v>
      </c>
      <c r="Y100" s="256" cm="1">
        <f t="array" aca="1" ref="Y100" ca="1">_xlfn.SWITCH(T100,Y$3,V100+Z100,W$3,W100,0)</f>
        <v>0</v>
      </c>
      <c r="Z100" s="1410" cm="1">
        <f t="array" aca="1" ref="Z100" ca="1">IFERROR(INDEX('Enveloppe du bâtiment hors terr'!L:L, $F99)*$K100/$M100,0)/$I$1*(1-0.8*N100)</f>
        <v>3.442550270894918E-3</v>
      </c>
      <c r="AA100" s="1460">
        <f t="shared" ca="1" si="149"/>
        <v>1.9778463821076866</v>
      </c>
      <c r="AB100" s="1460"/>
    </row>
    <row r="101" spans="2:28" ht="15.75" customHeight="1" outlineLevel="1">
      <c r="B101" s="1871"/>
      <c r="C101" s="1874"/>
      <c r="D101" s="163"/>
      <c r="E101" s="163"/>
      <c r="F101" s="163">
        <f t="shared" ca="1" si="150"/>
        <v>170</v>
      </c>
      <c r="G101" s="163" t="str" cm="1">
        <f t="array" aca="1" ref="G101" ca="1">INDEX( 'Enveloppe du bâtiment hors terr'!C:C, $F100)</f>
        <v>PE Dampfbremse [kg]</v>
      </c>
      <c r="H101" s="163" t="str" cm="1">
        <f t="array" aca="1" ref="H101" ca="1">INDEX( 'Enveloppe du bâtiment hors terr'!D:D, $F100)</f>
        <v>Feuille de polyéthylène (PE)</v>
      </c>
      <c r="I101" s="163" t="str" cm="1">
        <f t="array" aca="1" ref="I101" ca="1">INDEX( 'Enveloppe du bâtiment hors terr'!G:G, $F100)</f>
        <v>09.007</v>
      </c>
      <c r="J101" s="163" t="str">
        <f ca="1">_xlfn.XLOOKUP($I101,'Baumaterialien Matériaux'!A:A,'Baumaterialien Matériaux'!G:G,0,0)</f>
        <v>kg</v>
      </c>
      <c r="K101" s="262">
        <f t="shared" ca="1" si="151"/>
        <v>16.62768775266122</v>
      </c>
      <c r="L101" s="163" cm="1">
        <f t="array" aca="1" ref="L101" ca="1">INDEX( 'Enveloppe du bâtiment hors terr'!J:J, $F100)</f>
        <v>40</v>
      </c>
      <c r="M101" s="1522" cm="1">
        <f t="array" aca="1" ref="M101" ca="1">INDEX( 'Enveloppe du bâtiment hors terr'!H:H, $F100)</f>
        <v>0.18</v>
      </c>
      <c r="N101" s="1627">
        <f>'Outil détaillé'!E$28</f>
        <v>0</v>
      </c>
      <c r="O101" s="1502" cm="1">
        <f t="array" aca="1" ref="O101" ca="1">IFERROR(INDEX('Enveloppe du bâtiment hors terr'!M:M, $F100)*$K101/$M101,0)/$I$1*(1-0.8*N101)</f>
        <v>0.28578838324886469</v>
      </c>
      <c r="P101" s="1416">
        <f t="shared" ca="1" si="146"/>
        <v>0</v>
      </c>
      <c r="Q101" s="1416">
        <f t="shared" ca="1" si="146"/>
        <v>0</v>
      </c>
      <c r="R101" s="256" cm="1">
        <f t="array" aca="1" ref="R101" ca="1">_xlfn.SWITCH(L101,R$3,O101+S101,P$3,P101,0)</f>
        <v>0.56326292262139876</v>
      </c>
      <c r="S101" s="1410" cm="1">
        <f t="array" aca="1" ref="S101" ca="1">IFERROR(INDEX('Enveloppe du bâtiment hors terr'!N:N, $F100)*$K101/$M101,0)/$I$1*(1-0.8*N101)</f>
        <v>0.27747453937253408</v>
      </c>
      <c r="T101" s="1411">
        <f t="shared" ca="1" si="147"/>
        <v>1.1265258452427975</v>
      </c>
      <c r="U101" s="1530" cm="1">
        <f t="array" aca="1" ref="U101" ca="1">IFERROR(INDEX('Enveloppe du bâtiment hors terr'!O:O, $F100)*$K101/$M101,0)/$I$1*(1-0.8*N101)</f>
        <v>0</v>
      </c>
      <c r="V101" s="1502" cm="1">
        <f t="array" aca="1" ref="V101" ca="1">IFERROR(INDEX('Enveloppe du bâtiment hors terr'!K:K, $F100)*$K101/$M101,0)/$I$1*(1-0.8*N101)</f>
        <v>2.5565069919716623</v>
      </c>
      <c r="W101" s="1416">
        <f t="shared" ca="1" si="148"/>
        <v>0</v>
      </c>
      <c r="X101" s="1416">
        <f t="shared" ca="1" si="148"/>
        <v>0</v>
      </c>
      <c r="Y101" s="256" cm="1">
        <f t="array" aca="1" ref="Y101" ca="1">_xlfn.SWITCH(T101,Y$3,V101+Z101,W$3,W101,0)</f>
        <v>0</v>
      </c>
      <c r="Z101" s="1410" cm="1">
        <f t="array" aca="1" ref="Z101" ca="1">IFERROR(INDEX('Enveloppe du bâtiment hors terr'!L:L, $F100)*$K101/$M101,0)/$I$1*(1-0.8*N101)</f>
        <v>2.1719917126913717E-2</v>
      </c>
      <c r="AA101" s="1460">
        <f t="shared" ca="1" si="149"/>
        <v>2.5782269090985759</v>
      </c>
      <c r="AB101" s="1460"/>
    </row>
    <row r="102" spans="2:28" ht="15.75" customHeight="1" outlineLevel="1">
      <c r="B102" s="1871"/>
      <c r="C102" s="1874"/>
      <c r="D102" s="163"/>
      <c r="E102" s="163"/>
      <c r="F102" s="163">
        <f t="shared" ca="1" si="150"/>
        <v>2</v>
      </c>
      <c r="G102" s="163" cm="1">
        <f t="array" aca="1" ref="G102" ca="1">INDEX( 'Enveloppe du bâtiment hors terr'!C:C, $F101)</f>
        <v>0</v>
      </c>
      <c r="H102" s="163" cm="1">
        <f t="array" aca="1" ref="H102" ca="1">INDEX( 'Enveloppe du bâtiment hors terr'!D:D, $F101)</f>
        <v>0</v>
      </c>
      <c r="I102" s="163" cm="1">
        <f t="array" aca="1" ref="I102" ca="1">INDEX( 'Enveloppe du bâtiment hors terr'!G:G, $F101)</f>
        <v>0</v>
      </c>
      <c r="J102" s="163">
        <f ca="1">_xlfn.XLOOKUP($I102,'Baumaterialien Matériaux'!A:A,'Baumaterialien Matériaux'!G:G,0,0)</f>
        <v>0</v>
      </c>
      <c r="K102" s="262">
        <f t="shared" ca="1" si="151"/>
        <v>0</v>
      </c>
      <c r="L102" s="163" cm="1">
        <f t="array" aca="1" ref="L102" ca="1">INDEX( 'Enveloppe du bâtiment hors terr'!J:J, $F101)</f>
        <v>40</v>
      </c>
      <c r="M102" s="1522" cm="1">
        <f t="array" aca="1" ref="M102" ca="1">INDEX( 'Enveloppe du bâtiment hors terr'!H:H, $F101)</f>
        <v>0</v>
      </c>
      <c r="N102" s="1627">
        <f>'Outil détaillé'!E$28</f>
        <v>0</v>
      </c>
      <c r="O102" s="1502" cm="1">
        <f t="array" aca="1" ref="O102" ca="1">IFERROR(INDEX('Enveloppe du bâtiment hors terr'!M:M, $F101)*$K102/$M102,0)/$I$1*(1-0.8*N102)</f>
        <v>0</v>
      </c>
      <c r="P102" s="1416">
        <f t="shared" ca="1" si="146"/>
        <v>0</v>
      </c>
      <c r="Q102" s="1416">
        <f t="shared" ca="1" si="146"/>
        <v>0</v>
      </c>
      <c r="R102" s="256" cm="1">
        <f t="array" aca="1" ref="R102" ca="1">_xlfn.SWITCH(L102,R$3,O102+S102,P$3,P102,0)</f>
        <v>0</v>
      </c>
      <c r="S102" s="1410" cm="1">
        <f t="array" aca="1" ref="S102" ca="1">IFERROR(INDEX('Enveloppe du bâtiment hors terr'!N:N, $F101)*$K102/$M102,0)/$I$1*(1-0.8*N102)</f>
        <v>0</v>
      </c>
      <c r="T102" s="1411">
        <f t="shared" ca="1" si="147"/>
        <v>0</v>
      </c>
      <c r="U102" s="1530" cm="1">
        <f t="array" aca="1" ref="U102" ca="1">IFERROR(INDEX('Enveloppe du bâtiment hors terr'!O:O, $F101)*$K102/$M102,0)/$I$1*(1-0.8*N102)</f>
        <v>0</v>
      </c>
      <c r="V102" s="1502" cm="1">
        <f t="array" aca="1" ref="V102" ca="1">IFERROR(INDEX('Enveloppe du bâtiment hors terr'!K:K, $F101)*$K102/$M102,0)/$I$1*(1-0.8*N102)</f>
        <v>0</v>
      </c>
      <c r="W102" s="1416">
        <f t="shared" ca="1" si="148"/>
        <v>0</v>
      </c>
      <c r="X102" s="1416">
        <f t="shared" ca="1" si="148"/>
        <v>0</v>
      </c>
      <c r="Y102" s="256" cm="1">
        <f t="array" aca="1" ref="Y102" ca="1">_xlfn.SWITCH(T102,Y$3,V102+Z102,W$3,W102,0)</f>
        <v>0</v>
      </c>
      <c r="Z102" s="1410" cm="1">
        <f t="array" aca="1" ref="Z102" ca="1">IFERROR(INDEX('Enveloppe du bâtiment hors terr'!L:L, $F101)*$K102/$M102,0)/$I$1*(1-0.8*N102)</f>
        <v>0</v>
      </c>
      <c r="AA102" s="1460">
        <f t="shared" ca="1" si="149"/>
        <v>0</v>
      </c>
      <c r="AB102" s="1460"/>
    </row>
    <row r="103" spans="2:28" ht="15.75" customHeight="1" outlineLevel="1">
      <c r="B103" s="1871"/>
      <c r="C103" s="1874"/>
      <c r="D103" s="163"/>
      <c r="E103" s="163"/>
      <c r="F103" s="163">
        <f t="shared" ca="1" si="150"/>
        <v>2</v>
      </c>
      <c r="G103" s="163" cm="1">
        <f t="array" aca="1" ref="G103" ca="1">INDEX( 'Enveloppe du bâtiment hors terr'!C:C, $F102)</f>
        <v>0</v>
      </c>
      <c r="H103" s="163" cm="1">
        <f t="array" aca="1" ref="H103" ca="1">INDEX( 'Enveloppe du bâtiment hors terr'!D:D, $F102)</f>
        <v>0</v>
      </c>
      <c r="I103" s="163" cm="1">
        <f t="array" aca="1" ref="I103" ca="1">INDEX( 'Enveloppe du bâtiment hors terr'!G:G, $F102)</f>
        <v>0</v>
      </c>
      <c r="J103" s="163">
        <f ca="1">_xlfn.XLOOKUP($I103,'Baumaterialien Matériaux'!A:A,'Baumaterialien Matériaux'!G:G,0,0)</f>
        <v>0</v>
      </c>
      <c r="K103" s="262">
        <f t="shared" ca="1" si="151"/>
        <v>0</v>
      </c>
      <c r="L103" s="163" cm="1">
        <f t="array" aca="1" ref="L103" ca="1">INDEX( 'Enveloppe du bâtiment hors terr'!J:J, $F102)</f>
        <v>0</v>
      </c>
      <c r="M103" s="1522" cm="1">
        <f t="array" aca="1" ref="M103" ca="1">INDEX( 'Enveloppe du bâtiment hors terr'!H:H, $F102)</f>
        <v>0</v>
      </c>
      <c r="N103" s="1627">
        <f>'Outil détaillé'!E$28</f>
        <v>0</v>
      </c>
      <c r="O103" s="1502" cm="1">
        <f t="array" aca="1" ref="O103" ca="1">IFERROR(INDEX('Enveloppe du bâtiment hors terr'!M:M, $F102)*$K103/$M103,0)/$I$1*(1-0.8*N103)</f>
        <v>0</v>
      </c>
      <c r="P103" s="1416">
        <f t="shared" ca="1" si="146"/>
        <v>0</v>
      </c>
      <c r="Q103" s="1416">
        <f t="shared" ca="1" si="146"/>
        <v>0</v>
      </c>
      <c r="R103" s="256" cm="1">
        <f t="array" aca="1" ref="R103" ca="1">_xlfn.SWITCH(L103,R$3,O103+S103,P$3,P103,0)</f>
        <v>0</v>
      </c>
      <c r="S103" s="1410" cm="1">
        <f t="array" aca="1" ref="S103" ca="1">IFERROR(INDEX('Enveloppe du bâtiment hors terr'!N:N, $F102)*$K103/$M103,0)/$I$1*(1-0.8*N103)</f>
        <v>0</v>
      </c>
      <c r="T103" s="1411">
        <f t="shared" ca="1" si="147"/>
        <v>0</v>
      </c>
      <c r="U103" s="1530" cm="1">
        <f t="array" aca="1" ref="U103" ca="1">IFERROR(INDEX('Enveloppe du bâtiment hors terr'!O:O, $F102)*$K103/$M103,0)/$I$1*(1-0.8*N103)</f>
        <v>0</v>
      </c>
      <c r="V103" s="1502" cm="1">
        <f t="array" aca="1" ref="V103" ca="1">IFERROR(INDEX('Enveloppe du bâtiment hors terr'!K:K, $F102)*$K103/$M103,0)/$I$1*(1-0.8*N103)</f>
        <v>0</v>
      </c>
      <c r="W103" s="1416">
        <f t="shared" ca="1" si="148"/>
        <v>0</v>
      </c>
      <c r="X103" s="1416">
        <f t="shared" ca="1" si="148"/>
        <v>0</v>
      </c>
      <c r="Y103" s="256" cm="1">
        <f t="array" aca="1" ref="Y103" ca="1">_xlfn.SWITCH(T103,Y$3,V103+Z103,W$3,W103,0)</f>
        <v>0</v>
      </c>
      <c r="Z103" s="1410" cm="1">
        <f t="array" aca="1" ref="Z103" ca="1">IFERROR(INDEX('Enveloppe du bâtiment hors terr'!L:L, $F102)*$K103/$M103,0)/$I$1*(1-0.8*N103)</f>
        <v>0</v>
      </c>
      <c r="AA103" s="1460">
        <f t="shared" ca="1" si="149"/>
        <v>0</v>
      </c>
      <c r="AB103" s="1460"/>
    </row>
    <row r="104" spans="2:28" ht="15.75" customHeight="1" outlineLevel="1">
      <c r="B104" s="1871"/>
      <c r="C104" s="1875"/>
      <c r="D104" s="163"/>
      <c r="E104" s="163"/>
      <c r="F104" s="163">
        <f t="shared" ca="1" si="150"/>
        <v>2</v>
      </c>
      <c r="G104" s="163" cm="1">
        <f t="array" aca="1" ref="G104" ca="1">INDEX( 'Enveloppe du bâtiment hors terr'!C:C, $F103)</f>
        <v>0</v>
      </c>
      <c r="H104" s="163" cm="1">
        <f t="array" aca="1" ref="H104" ca="1">INDEX( 'Enveloppe du bâtiment hors terr'!D:D, $F103)</f>
        <v>0</v>
      </c>
      <c r="I104" s="163" cm="1">
        <f t="array" aca="1" ref="I104" ca="1">INDEX( 'Enveloppe du bâtiment hors terr'!G:G, $F103)</f>
        <v>0</v>
      </c>
      <c r="J104" s="163">
        <f ca="1">_xlfn.XLOOKUP($I104,'Baumaterialien Matériaux'!A:A,'Baumaterialien Matériaux'!G:G,0,0)</f>
        <v>0</v>
      </c>
      <c r="K104" s="262">
        <f t="shared" ca="1" si="151"/>
        <v>0</v>
      </c>
      <c r="L104" s="163" cm="1">
        <f t="array" aca="1" ref="L104" ca="1">INDEX( 'Enveloppe du bâtiment hors terr'!J:J, $F103)</f>
        <v>0</v>
      </c>
      <c r="M104" s="1522" cm="1">
        <f t="array" aca="1" ref="M104" ca="1">INDEX( 'Enveloppe du bâtiment hors terr'!H:H, $F103)</f>
        <v>0</v>
      </c>
      <c r="N104" s="1627">
        <f>'Outil détaillé'!E$28</f>
        <v>0</v>
      </c>
      <c r="O104" s="1502" cm="1">
        <f t="array" aca="1" ref="O104" ca="1">IFERROR(INDEX('Enveloppe du bâtiment hors terr'!M:M, $F103)*$K104/$M104,0)/$I$1*(1-0.8*N104)</f>
        <v>0</v>
      </c>
      <c r="P104" s="1416">
        <f t="shared" ca="1" si="146"/>
        <v>0</v>
      </c>
      <c r="Q104" s="1416">
        <f t="shared" ca="1" si="146"/>
        <v>0</v>
      </c>
      <c r="R104" s="256" cm="1">
        <f t="array" aca="1" ref="R104" ca="1">_xlfn.SWITCH(L104,R$3,O104+S104,P$3,P104,0)</f>
        <v>0</v>
      </c>
      <c r="S104" s="1410" cm="1">
        <f t="array" aca="1" ref="S104" ca="1">IFERROR(INDEX('Enveloppe du bâtiment hors terr'!N:N, $F103)*$K104/$M104,0)/$I$1*(1-0.8*N104)</f>
        <v>0</v>
      </c>
      <c r="T104" s="1411">
        <f t="shared" ca="1" si="147"/>
        <v>0</v>
      </c>
      <c r="U104" s="1530" cm="1">
        <f t="array" aca="1" ref="U104" ca="1">IFERROR(INDEX('Enveloppe du bâtiment hors terr'!O:O, $F103)*$K104/$M104,0)/$I$1*(1-0.8*N104)</f>
        <v>0</v>
      </c>
      <c r="V104" s="1502" cm="1">
        <f t="array" aca="1" ref="V104" ca="1">IFERROR(INDEX('Enveloppe du bâtiment hors terr'!K:K, $F103)*$K104/$M104,0)/$I$1*(1-0.8*N104)</f>
        <v>0</v>
      </c>
      <c r="W104" s="1416">
        <f t="shared" ca="1" si="148"/>
        <v>0</v>
      </c>
      <c r="X104" s="1416">
        <f t="shared" ca="1" si="148"/>
        <v>0</v>
      </c>
      <c r="Y104" s="256" cm="1">
        <f t="array" aca="1" ref="Y104" ca="1">_xlfn.SWITCH(T104,Y$3,V104+Z104,W$3,W104,0)</f>
        <v>0</v>
      </c>
      <c r="Z104" s="1410" cm="1">
        <f t="array" aca="1" ref="Z104" ca="1">IFERROR(INDEX('Enveloppe du bâtiment hors terr'!L:L, $F103)*$K104/$M104,0)/$I$1*(1-0.8*N104)</f>
        <v>0</v>
      </c>
      <c r="AA104" s="1460">
        <f t="shared" ca="1" si="149"/>
        <v>0</v>
      </c>
      <c r="AB104" s="1460"/>
    </row>
    <row r="105" spans="2:28" ht="15.75" customHeight="1" outlineLevel="1">
      <c r="B105" s="1871"/>
      <c r="C105" s="984"/>
      <c r="E105" s="665"/>
      <c r="F105" s="665">
        <f>MATCH(D106, 'Enveloppe du bâtiment hors terr'!B:B,0)</f>
        <v>198</v>
      </c>
      <c r="G105" s="665"/>
      <c r="H105" s="665"/>
      <c r="I105" s="665"/>
      <c r="J105" s="665"/>
      <c r="K105" s="669"/>
      <c r="L105" s="665"/>
      <c r="M105" s="1526"/>
      <c r="N105" s="1630"/>
      <c r="O105" s="1507"/>
      <c r="P105" s="1508"/>
      <c r="Q105" s="1508"/>
      <c r="R105" s="1508"/>
      <c r="S105" s="1456"/>
      <c r="T105" s="1455"/>
      <c r="U105" s="1532"/>
      <c r="V105" s="1507"/>
      <c r="W105" s="1508"/>
      <c r="X105" s="1508"/>
      <c r="Y105" s="1508"/>
      <c r="Z105" s="1456"/>
      <c r="AA105" s="1509"/>
      <c r="AB105" s="1509"/>
    </row>
    <row r="106" spans="2:28" ht="15.75" customHeight="1" outlineLevel="1">
      <c r="B106" s="1871"/>
      <c r="C106" s="984"/>
      <c r="D106" s="163" t="str">
        <f>'Outil détaillé'!D29</f>
        <v>Toiture inclinée isolant</v>
      </c>
      <c r="E106" s="665" t="str">
        <f>'Outil détaillé'!F29</f>
        <v>Laine de roche</v>
      </c>
      <c r="F106" s="665">
        <f ca="1">MATCH(E106, INDIRECT("'Enveloppe du bâtiment hors terr'!A"&amp;F105+1&amp;":A500"),0)+F105</f>
        <v>201</v>
      </c>
      <c r="G106" s="665"/>
      <c r="H106" s="665"/>
      <c r="I106" s="665"/>
      <c r="J106" s="665" t="s">
        <v>87</v>
      </c>
      <c r="K106" s="669">
        <f>'Outil détaillé'!K29</f>
        <v>92.376043070340117</v>
      </c>
      <c r="L106" s="1059"/>
      <c r="M106" s="1483"/>
      <c r="N106" s="1631"/>
      <c r="O106" s="1510">
        <f ca="1">SUM(O107:O108)</f>
        <v>11.013764675168977</v>
      </c>
      <c r="P106" s="1455">
        <f t="shared" ref="P106:U106" ca="1" si="152">SUM(P107:P108)</f>
        <v>0</v>
      </c>
      <c r="Q106" s="1455">
        <f t="shared" ca="1" si="152"/>
        <v>0</v>
      </c>
      <c r="R106" s="1455">
        <f t="shared" ca="1" si="152"/>
        <v>11.875078900756828</v>
      </c>
      <c r="S106" s="1455">
        <f t="shared" ca="1" si="152"/>
        <v>0.86131422558785142</v>
      </c>
      <c r="T106" s="1455">
        <f t="shared" ca="1" si="152"/>
        <v>23.750157801513655</v>
      </c>
      <c r="U106" s="1509">
        <f t="shared" ca="1" si="152"/>
        <v>0</v>
      </c>
      <c r="V106" s="1510">
        <f ca="1">SUM(V107:V108)</f>
        <v>45.102603029093565</v>
      </c>
      <c r="W106" s="1455">
        <f t="shared" ref="W106:Z106" ca="1" si="153">SUM(W107:W108)</f>
        <v>0</v>
      </c>
      <c r="X106" s="1455">
        <f t="shared" ca="1" si="153"/>
        <v>0</v>
      </c>
      <c r="Y106" s="1455">
        <f t="shared" ca="1" si="153"/>
        <v>0</v>
      </c>
      <c r="Z106" s="1455">
        <f t="shared" ca="1" si="153"/>
        <v>1.9350471622159495</v>
      </c>
      <c r="AA106" s="1509">
        <f t="shared" ref="AA106" ca="1" si="154">SUM(AA107:AA108)</f>
        <v>47.037650191309517</v>
      </c>
      <c r="AB106" s="1509"/>
    </row>
    <row r="107" spans="2:28" ht="15.75" customHeight="1" outlineLevel="1">
      <c r="B107" s="1871"/>
      <c r="C107" s="984"/>
      <c r="D107" s="163"/>
      <c r="E107" s="163"/>
      <c r="F107" s="163">
        <f t="shared" ref="F107:F108" ca="1" si="155">IF(I107=0,2,F106+1)</f>
        <v>202</v>
      </c>
      <c r="G107" s="163" t="str" cm="1">
        <f t="array" aca="1" ref="G107" ca="1">INDEX( 'Enveloppe du bâtiment hors terr'!C:C, $F106)</f>
        <v>Steinwolle 28 cm, 90 kg/m3</v>
      </c>
      <c r="H107" s="163" t="str" cm="1">
        <f t="array" aca="1" ref="H107" ca="1">INDEX( 'Enveloppe du bâtiment hors terr'!D:D, $F106)</f>
        <v>Laine de roche</v>
      </c>
      <c r="I107" s="163" t="str" cm="1">
        <f t="array" aca="1" ref="I107" ca="1">INDEX( 'Enveloppe du bâtiment hors terr'!G:G, $F106)</f>
        <v>10.008</v>
      </c>
      <c r="J107" s="163" t="str">
        <f ca="1">_xlfn.XLOOKUP($I107,'Baumaterialien Matériaux'!A:A,'Baumaterialien Matériaux'!G:G,0,0)</f>
        <v>kg</v>
      </c>
      <c r="K107" s="262">
        <f ca="1">M107*$K$96</f>
        <v>2327.8762853725711</v>
      </c>
      <c r="L107" s="163" cm="1">
        <f t="array" aca="1" ref="L107" ca="1">INDEX( 'Enveloppe du bâtiment hors terr'!J:J, $F106)</f>
        <v>40</v>
      </c>
      <c r="M107" s="1522" cm="1">
        <f t="array" aca="1" ref="M107" ca="1">INDEX( 'Enveloppe du bâtiment hors terr'!H:H, $F106)</f>
        <v>25.200000000000003</v>
      </c>
      <c r="N107" s="1627">
        <f>'Outil détaillé'!E$29</f>
        <v>0</v>
      </c>
      <c r="O107" s="1502" cm="1">
        <f t="array" aca="1" ref="O107" ca="1">IFERROR(INDEX('Enveloppe du bâtiment hors terr'!M:M, $F106)*$K107/$M107,0)/$I$1*(1-0.8*N107)</f>
        <v>11.013764675168977</v>
      </c>
      <c r="P107" s="1416">
        <f t="shared" ref="P107:Q108" ca="1" si="156">IF($L107=P$3,$O107+$S107,0)</f>
        <v>0</v>
      </c>
      <c r="Q107" s="1416">
        <f t="shared" ca="1" si="156"/>
        <v>0</v>
      </c>
      <c r="R107" s="256" cm="1">
        <f t="array" aca="1" ref="R107" ca="1">_xlfn.SWITCH(L107,R$3,O107+S107,P$3,P107,0)</f>
        <v>11.875078900756828</v>
      </c>
      <c r="S107" s="1410" cm="1">
        <f t="array" aca="1" ref="S107" ca="1">IFERROR(INDEX('Enveloppe du bâtiment hors terr'!N:N, $F106)*$K107/$M107,0)/$I$1*(1-0.8*N107)</f>
        <v>0.86131422558785142</v>
      </c>
      <c r="T107" s="1411">
        <f t="shared" ref="T107:T108" ca="1" si="157">SUM(O107:S107)</f>
        <v>23.750157801513655</v>
      </c>
      <c r="U107" s="1530" cm="1">
        <f t="array" aca="1" ref="U107" ca="1">IFERROR(INDEX('Enveloppe du bâtiment hors terr'!O:O, $F106)*$K107/$M107,0)/$I$1*(1-0.8*N107)</f>
        <v>0</v>
      </c>
      <c r="V107" s="1502" cm="1">
        <f t="array" aca="1" ref="V107" ca="1">IFERROR(INDEX('Enveloppe du bâtiment hors terr'!K:K, $F106)*$K107/$M107,0)/$I$1*(1-0.8*N107)</f>
        <v>45.102603029093565</v>
      </c>
      <c r="W107" s="1416">
        <f t="shared" ref="W107:X108" ca="1" si="158">IF($L107=W$3,$V107+$Z107,0)</f>
        <v>0</v>
      </c>
      <c r="X107" s="1416">
        <f t="shared" ca="1" si="158"/>
        <v>0</v>
      </c>
      <c r="Y107" s="256" cm="1">
        <f t="array" aca="1" ref="Y107" ca="1">_xlfn.SWITCH(T107,Y$3,V107+Z107,W$3,W107,0)</f>
        <v>0</v>
      </c>
      <c r="Z107" s="1410" cm="1">
        <f t="array" aca="1" ref="Z107" ca="1">IFERROR(INDEX('Enveloppe du bâtiment hors terr'!L:L, $F106)*$K107/$M107,0)/$I$1*(1-0.8*N107)</f>
        <v>1.9350471622159495</v>
      </c>
      <c r="AA107" s="1460">
        <f t="shared" ref="AA107:AA108" ca="1" si="159">SUM(V107:Z107)</f>
        <v>47.037650191309517</v>
      </c>
      <c r="AB107" s="1460"/>
    </row>
    <row r="108" spans="2:28" ht="15.75" customHeight="1" outlineLevel="1" thickBot="1">
      <c r="B108" s="1872"/>
      <c r="C108" s="1051"/>
      <c r="D108" s="640"/>
      <c r="E108" s="640"/>
      <c r="F108" s="163">
        <f t="shared" ca="1" si="155"/>
        <v>2</v>
      </c>
      <c r="G108" s="163" cm="1">
        <f t="array" aca="1" ref="G108" ca="1">INDEX( 'Enveloppe du bâtiment hors terr'!C:C, $F107)</f>
        <v>0</v>
      </c>
      <c r="H108" s="163" cm="1">
        <f t="array" aca="1" ref="H108" ca="1">INDEX( 'Enveloppe du bâtiment hors terr'!D:D, $F107)</f>
        <v>0</v>
      </c>
      <c r="I108" s="163" cm="1">
        <f t="array" aca="1" ref="I108" ca="1">INDEX( 'Enveloppe du bâtiment hors terr'!G:G, $F107)</f>
        <v>0</v>
      </c>
      <c r="J108" s="163">
        <f ca="1">_xlfn.XLOOKUP($I108,'Baumaterialien Matériaux'!A:A,'Baumaterialien Matériaux'!G:G,0,0)</f>
        <v>0</v>
      </c>
      <c r="K108" s="262">
        <f t="shared" ref="K108" ca="1" si="160">M108*$K$96</f>
        <v>0</v>
      </c>
      <c r="L108" s="163" cm="1">
        <f t="array" aca="1" ref="L108" ca="1">INDEX( 'Enveloppe du bâtiment hors terr'!J:J, $F107)</f>
        <v>0</v>
      </c>
      <c r="M108" s="1522" cm="1">
        <f t="array" aca="1" ref="M108" ca="1">INDEX( 'Enveloppe du bâtiment hors terr'!H:H, $F107)</f>
        <v>0</v>
      </c>
      <c r="N108" s="1627">
        <f>'Outil détaillé'!E$29</f>
        <v>0</v>
      </c>
      <c r="O108" s="1502" cm="1">
        <f t="array" aca="1" ref="O108" ca="1">IFERROR(INDEX('Enveloppe du bâtiment hors terr'!M:M, $F107)*$K108/$M108,0)/$I$1*(1-0.8*N108)</f>
        <v>0</v>
      </c>
      <c r="P108" s="1416">
        <f t="shared" ca="1" si="156"/>
        <v>0</v>
      </c>
      <c r="Q108" s="1416">
        <f t="shared" ca="1" si="156"/>
        <v>0</v>
      </c>
      <c r="R108" s="256" cm="1">
        <f t="array" aca="1" ref="R108" ca="1">_xlfn.SWITCH(L108,R$3,O108+S108,P$3,P108,0)</f>
        <v>0</v>
      </c>
      <c r="S108" s="1410" cm="1">
        <f t="array" aca="1" ref="S108" ca="1">IFERROR(INDEX('Enveloppe du bâtiment hors terr'!N:N, $F107)*$K108/$M108,0)/$I$1*(1-0.8*N108)</f>
        <v>0</v>
      </c>
      <c r="T108" s="1411">
        <f t="shared" ca="1" si="157"/>
        <v>0</v>
      </c>
      <c r="U108" s="1530" cm="1">
        <f t="array" aca="1" ref="U108" ca="1">IFERROR(INDEX('Enveloppe du bâtiment hors terr'!O:O, $F107)*$K108/$M108,0)/$I$1*(1-0.8*N108)</f>
        <v>0</v>
      </c>
      <c r="V108" s="1502" cm="1">
        <f t="array" aca="1" ref="V108" ca="1">IFERROR(INDEX('Enveloppe du bâtiment hors terr'!K:K, $F107)*$K108/$M108,0)/$I$1*(1-0.8*N108)</f>
        <v>0</v>
      </c>
      <c r="W108" s="1416">
        <f t="shared" ca="1" si="158"/>
        <v>0</v>
      </c>
      <c r="X108" s="1416">
        <f t="shared" ca="1" si="158"/>
        <v>0</v>
      </c>
      <c r="Y108" s="256" cm="1">
        <f t="array" aca="1" ref="Y108" ca="1">_xlfn.SWITCH(T108,Y$3,V108+Z108,W$3,W108,0)</f>
        <v>0</v>
      </c>
      <c r="Z108" s="1410" cm="1">
        <f t="array" aca="1" ref="Z108" ca="1">IFERROR(INDEX('Enveloppe du bâtiment hors terr'!L:L, $F107)*$K108/$M108,0)/$I$1*(1-0.8*N108)</f>
        <v>0</v>
      </c>
      <c r="AA108" s="1460">
        <f t="shared" ca="1" si="159"/>
        <v>0</v>
      </c>
      <c r="AB108" s="1460"/>
    </row>
    <row r="109" spans="2:28" ht="15.6" customHeight="1">
      <c r="B109" s="1870" t="s">
        <v>501</v>
      </c>
      <c r="C109" s="1876" t="str">
        <f>'Outil détaillé'!C30</f>
        <v>C02.02</v>
      </c>
      <c r="D109" s="636" t="str">
        <f>'Outil détaillé'!D30</f>
        <v>Parois intérieures</v>
      </c>
      <c r="E109" s="636"/>
      <c r="F109" s="636">
        <f>MATCH(D109, 'Eléments de constr. inté. et ex'!B:B,0)</f>
        <v>3</v>
      </c>
      <c r="G109" s="636"/>
      <c r="H109" s="636"/>
      <c r="I109" s="636"/>
      <c r="J109" s="636"/>
      <c r="K109" s="1046"/>
      <c r="L109" s="1040"/>
      <c r="M109" s="1518"/>
      <c r="N109" s="1622"/>
      <c r="O109" s="1486">
        <f t="shared" ref="O109" ca="1" si="161">O110+O119+O128</f>
        <v>60.832305964012747</v>
      </c>
      <c r="P109" s="1041">
        <f t="shared" ref="P109:V109" ca="1" si="162">P110+P119+P128</f>
        <v>0</v>
      </c>
      <c r="Q109" s="1041">
        <f t="shared" ca="1" si="162"/>
        <v>11.189885313600001</v>
      </c>
      <c r="R109" s="1041">
        <f t="shared" ca="1" si="162"/>
        <v>0</v>
      </c>
      <c r="S109" s="1041">
        <f t="shared" ca="1" si="162"/>
        <v>6.0258742289980898</v>
      </c>
      <c r="T109" s="1041">
        <f t="shared" ca="1" si="162"/>
        <v>78.04806550661084</v>
      </c>
      <c r="U109" s="1487">
        <f t="shared" ca="1" si="162"/>
        <v>48.243262925000003</v>
      </c>
      <c r="V109" s="1486">
        <f t="shared" ca="1" si="162"/>
        <v>193.69192303662422</v>
      </c>
      <c r="W109" s="1041">
        <f t="shared" ref="W109:Z109" ca="1" si="163">W110+W119+W128</f>
        <v>0</v>
      </c>
      <c r="X109" s="1041">
        <f t="shared" ca="1" si="163"/>
        <v>46.589960544000007</v>
      </c>
      <c r="Y109" s="1041">
        <f t="shared" ca="1" si="163"/>
        <v>0</v>
      </c>
      <c r="Z109" s="1041">
        <f t="shared" ca="1" si="163"/>
        <v>20.117461138299362</v>
      </c>
      <c r="AA109" s="1487">
        <f t="shared" ref="AA109" ca="1" si="164">AA110+AA119+AA128</f>
        <v>260.3993447189236</v>
      </c>
      <c r="AB109" s="1487"/>
    </row>
    <row r="110" spans="2:28" ht="15.75">
      <c r="B110" s="1871"/>
      <c r="C110" s="1874"/>
      <c r="D110" s="163" t="s">
        <v>439</v>
      </c>
      <c r="E110" s="164" t="str">
        <f>'Outil détaillé'!F31</f>
        <v>Paroi CLT</v>
      </c>
      <c r="F110" s="801">
        <f ca="1">MATCH(E110, INDIRECT("'Eléments de constr. inté. et ex'!A"&amp;F109+1&amp;":A500"),0)+F109</f>
        <v>10</v>
      </c>
      <c r="G110" s="164"/>
      <c r="H110" s="164"/>
      <c r="I110" s="164"/>
      <c r="J110" s="512" t="s">
        <v>87</v>
      </c>
      <c r="K110" s="270">
        <f>'Outil détaillé'!K31</f>
        <v>64</v>
      </c>
      <c r="L110" s="271"/>
      <c r="M110" s="1467"/>
      <c r="N110" s="1623"/>
      <c r="O110" s="1488">
        <f t="shared" ref="O110" ca="1" si="165">SUM(O111:O118)</f>
        <v>12.8463192</v>
      </c>
      <c r="P110" s="1489">
        <f t="shared" ref="P110:U110" ca="1" si="166">SUM(P111:P118)</f>
        <v>0</v>
      </c>
      <c r="Q110" s="1489">
        <f t="shared" ca="1" si="166"/>
        <v>0</v>
      </c>
      <c r="R110" s="1489">
        <f t="shared" ca="1" si="166"/>
        <v>0</v>
      </c>
      <c r="S110" s="1489">
        <f t="shared" ca="1" si="166"/>
        <v>1.6027718399999999</v>
      </c>
      <c r="T110" s="1489">
        <f t="shared" ca="1" si="166"/>
        <v>14.449091039999999</v>
      </c>
      <c r="U110" s="1490">
        <f t="shared" ca="1" si="166"/>
        <v>41.426668800000002</v>
      </c>
      <c r="V110" s="1488">
        <f t="shared" ref="V110" ca="1" si="167">SUM(V111:V118)</f>
        <v>62.903952000000004</v>
      </c>
      <c r="W110" s="1489">
        <f t="shared" ref="W110:Z110" ca="1" si="168">SUM(W111:W118)</f>
        <v>0</v>
      </c>
      <c r="X110" s="1489">
        <f t="shared" ca="1" si="168"/>
        <v>0</v>
      </c>
      <c r="Y110" s="1489">
        <f t="shared" ca="1" si="168"/>
        <v>0</v>
      </c>
      <c r="Z110" s="1489">
        <f t="shared" ca="1" si="168"/>
        <v>2.7674654400000001</v>
      </c>
      <c r="AA110" s="1490">
        <f t="shared" ref="AA110" ca="1" si="169">SUM(AA111:AA118)</f>
        <v>65.671417439999999</v>
      </c>
      <c r="AB110" s="1490"/>
    </row>
    <row r="111" spans="2:28" ht="15.75" outlineLevel="1">
      <c r="B111" s="1871"/>
      <c r="C111" s="1874"/>
      <c r="D111" s="163"/>
      <c r="E111" s="163"/>
      <c r="F111" s="163">
        <f ca="1">IF(I111=0,2,F110+1)</f>
        <v>11</v>
      </c>
      <c r="G111" s="163" t="str" cm="1">
        <f t="array" aca="1" ref="G111" ca="1">INDEX( 'Eléments de constr. inté. et ex'!C:C, $F110)</f>
        <v>2 x 72 mm CLT</v>
      </c>
      <c r="H111" s="163" t="str" cm="1">
        <f t="array" aca="1" ref="H111" ca="1">INDEX( 'Eléments de constr. inté. et ex'!D:D, $F110)</f>
        <v>Bois massif 3 et 5 plis</v>
      </c>
      <c r="I111" s="163" t="str" cm="1">
        <f t="array" aca="1" ref="I111" ca="1">INDEX( 'Eléments de constr. inté. et ex'!G:G, $F110)</f>
        <v>07.001</v>
      </c>
      <c r="J111" s="163" t="str">
        <f ca="1">_xlfn.XLOOKUP($I111,'Baumaterialien Matériaux'!A:A,'Baumaterialien Matériaux'!G:G,0,0)</f>
        <v>kg</v>
      </c>
      <c r="K111" s="262">
        <f ca="1">M111*$K$110</f>
        <v>4174.848</v>
      </c>
      <c r="L111" s="163" cm="1">
        <f t="array" aca="1" ref="L111" ca="1">INDEX( 'Eléments de constr. inté. et ex'!J:J, $F110)</f>
        <v>60</v>
      </c>
      <c r="M111" s="1522" cm="1">
        <f t="array" aca="1" ref="M111" ca="1">INDEX( 'Eléments de constr. inté. et ex'!H:H, $F110)</f>
        <v>65.231999999999999</v>
      </c>
      <c r="N111" s="1627">
        <f>'Outil détaillé'!E$31</f>
        <v>0</v>
      </c>
      <c r="O111" s="1502" cm="1">
        <f t="array" aca="1" ref="O111" ca="1">IFERROR(INDEX('Eléments de constr. inté. et ex'!M:M, $F110)*$K111/$M111,0)/$I$1*(1-0.8*N111)</f>
        <v>10.802419199999999</v>
      </c>
      <c r="P111" s="1416">
        <f t="shared" ref="P111:Q133" ca="1" si="170">IF($L111=P$3,$O111+$S111,0)</f>
        <v>0</v>
      </c>
      <c r="Q111" s="1416">
        <f t="shared" ca="1" si="170"/>
        <v>0</v>
      </c>
      <c r="R111" s="256" cm="1">
        <f t="array" aca="1" ref="R111" ca="1">_xlfn.SWITCH(L111,R$3,O111+S111,P$3,P111,0)</f>
        <v>0</v>
      </c>
      <c r="S111" s="1410" cm="1">
        <f t="array" aca="1" ref="S111" ca="1">IFERROR(INDEX('Eléments de constr. inté. et ex'!N:N, $F110)*$K111/$M111,0)/$I$1*(1-0.8*N111)</f>
        <v>1.44293184</v>
      </c>
      <c r="T111" s="1411">
        <f t="shared" ref="T111" ca="1" si="171">SUM(O111:S111)</f>
        <v>12.245351039999999</v>
      </c>
      <c r="U111" s="1530" cm="1">
        <f t="array" aca="1" ref="U111" ca="1">IFERROR(INDEX('Eléments de constr. inté. et ex'!O:O, $F110)*$K111/$M111,0)/$I$1*(1-0.8*N111)</f>
        <v>41.426668800000002</v>
      </c>
      <c r="V111" s="1502" cm="1">
        <f t="array" aca="1" ref="V111" ca="1">IFERROR(INDEX('Eléments de constr. inté. et ex'!K:K, $F110)*$K111/$M111,0)/$I$1*(1-0.8*N111)</f>
        <v>54.533951999999999</v>
      </c>
      <c r="W111" s="1416">
        <f t="shared" ref="W111:X133" ca="1" si="172">IF($L111=W$3,$V111+$Z111,0)</f>
        <v>0</v>
      </c>
      <c r="X111" s="1416">
        <f t="shared" ca="1" si="172"/>
        <v>0</v>
      </c>
      <c r="Y111" s="256" cm="1">
        <f t="array" aca="1" ref="Y111" ca="1">_xlfn.SWITCH(T111,Y$3,V111+Z111,W$3,W111,0)</f>
        <v>0</v>
      </c>
      <c r="Z111" s="1410" cm="1">
        <f t="array" aca="1" ref="Z111" ca="1">IFERROR(INDEX('Eléments de constr. inté. et ex'!L:L, $F110)*$K111/$M111,0)/$I$1*(1-0.8*N111)</f>
        <v>2.4083654399999999</v>
      </c>
      <c r="AA111" s="1460">
        <f t="shared" ref="AA111" ca="1" si="173">SUM(V111:Z111)</f>
        <v>56.942317439999997</v>
      </c>
      <c r="AB111" s="1460" cm="1">
        <f t="array" aca="1" ref="AB111" ca="1">INDEX( 'Eléments de constr. inté. et ex'!V:V, $F110)</f>
        <v>0</v>
      </c>
    </row>
    <row r="112" spans="2:28" ht="15.75" outlineLevel="1">
      <c r="B112" s="1871"/>
      <c r="C112" s="1874"/>
      <c r="D112" s="163"/>
      <c r="E112" s="163"/>
      <c r="F112" s="163">
        <f t="shared" ref="F112:F118" ca="1" si="174">IF(I112=0,2,F111+1)</f>
        <v>12</v>
      </c>
      <c r="G112" s="163" t="str" cm="1">
        <f t="array" aca="1" ref="G112" ca="1">INDEX( 'Eléments de constr. inté. et ex'!C:C, $F111)</f>
        <v>Steinwolle [kg]</v>
      </c>
      <c r="H112" s="163" t="str" cm="1">
        <f t="array" aca="1" ref="H112" ca="1">INDEX( 'Eléments de constr. inté. et ex'!D:D, $F111)</f>
        <v>Laine de roche</v>
      </c>
      <c r="I112" s="163" t="str" cm="1">
        <f t="array" aca="1" ref="I112" ca="1">INDEX( 'Eléments de constr. inté. et ex'!G:G, $F111)</f>
        <v>10.008</v>
      </c>
      <c r="J112" s="163" t="str">
        <f ca="1">_xlfn.XLOOKUP($I112,'Baumaterialien Matériaux'!A:A,'Baumaterialien Matériaux'!G:G,0,0)</f>
        <v>kg</v>
      </c>
      <c r="K112" s="262">
        <f t="shared" ref="K112:K118" ca="1" si="175">M112*$K$110</f>
        <v>432</v>
      </c>
      <c r="L112" s="163" cm="1">
        <f t="array" aca="1" ref="L112" ca="1">INDEX( 'Eléments de constr. inté. et ex'!J:J, $F111)</f>
        <v>60</v>
      </c>
      <c r="M112" s="1522" cm="1">
        <f t="array" aca="1" ref="M112" ca="1">INDEX( 'Eléments de constr. inté. et ex'!H:H, $F111)</f>
        <v>6.75</v>
      </c>
      <c r="N112" s="1627">
        <f>'Outil détaillé'!E$31</f>
        <v>0</v>
      </c>
      <c r="O112" s="1502" cm="1">
        <f t="array" aca="1" ref="O112" ca="1">IFERROR(INDEX('Eléments de constr. inté. et ex'!M:M, $F111)*$K112/$M112,0)/$I$1*(1-0.8*N112)</f>
        <v>2.0438999999999998</v>
      </c>
      <c r="P112" s="1416">
        <f t="shared" ca="1" si="170"/>
        <v>0</v>
      </c>
      <c r="Q112" s="1416">
        <f t="shared" ca="1" si="170"/>
        <v>0</v>
      </c>
      <c r="R112" s="256" cm="1">
        <f t="array" aca="1" ref="R112" ca="1">_xlfn.SWITCH(L112,R$3,O112+S112,P$3,P112,0)</f>
        <v>0</v>
      </c>
      <c r="S112" s="1410" cm="1">
        <f t="array" aca="1" ref="S112" ca="1">IFERROR(INDEX('Eléments de constr. inté. et ex'!N:N, $F111)*$K112/$M112,0)/$I$1*(1-0.8*N112)</f>
        <v>0.15984000000000001</v>
      </c>
      <c r="T112" s="1411">
        <f t="shared" ref="T112:T118" ca="1" si="176">SUM(O112:S112)</f>
        <v>2.2037399999999998</v>
      </c>
      <c r="U112" s="1530" cm="1">
        <f t="array" aca="1" ref="U112" ca="1">IFERROR(INDEX('Eléments de constr. inté. et ex'!O:O, $F111)*$K112/$M112,0)/$I$1*(1-0.8*N112)</f>
        <v>0</v>
      </c>
      <c r="V112" s="1502" cm="1">
        <f t="array" aca="1" ref="V112" ca="1">IFERROR(INDEX('Eléments de constr. inté. et ex'!K:K, $F111)*$K112/$M112,0)/$I$1*(1-0.8*N112)</f>
        <v>8.370000000000001</v>
      </c>
      <c r="W112" s="1416">
        <f t="shared" ca="1" si="172"/>
        <v>0</v>
      </c>
      <c r="X112" s="1416">
        <f t="shared" ca="1" si="172"/>
        <v>0</v>
      </c>
      <c r="Y112" s="256" cm="1">
        <f t="array" aca="1" ref="Y112" ca="1">_xlfn.SWITCH(T112,Y$3,V112+Z112,W$3,W112,0)</f>
        <v>0</v>
      </c>
      <c r="Z112" s="1410" cm="1">
        <f t="array" aca="1" ref="Z112" ca="1">IFERROR(INDEX('Eléments de constr. inté. et ex'!L:L, $F111)*$K112/$M112,0)/$I$1*(1-0.8*N112)</f>
        <v>0.35910000000000003</v>
      </c>
      <c r="AA112" s="1460">
        <f t="shared" ref="AA112:AA118" ca="1" si="177">SUM(V112:Z112)</f>
        <v>8.7291000000000007</v>
      </c>
      <c r="AB112" s="1460"/>
    </row>
    <row r="113" spans="2:28" ht="15.75" outlineLevel="1">
      <c r="B113" s="1871"/>
      <c r="C113" s="1874"/>
      <c r="D113" s="163"/>
      <c r="E113" s="163"/>
      <c r="F113" s="163">
        <f t="shared" ca="1" si="174"/>
        <v>2</v>
      </c>
      <c r="G113" s="163" cm="1">
        <f t="array" aca="1" ref="G113" ca="1">INDEX( 'Eléments de constr. inté. et ex'!C:C, $F112)</f>
        <v>0</v>
      </c>
      <c r="H113" s="163" cm="1">
        <f t="array" aca="1" ref="H113" ca="1">INDEX( 'Eléments de constr. inté. et ex'!D:D, $F112)</f>
        <v>0</v>
      </c>
      <c r="I113" s="163" cm="1">
        <f t="array" aca="1" ref="I113" ca="1">INDEX( 'Eléments de constr. inté. et ex'!G:G, $F112)</f>
        <v>0</v>
      </c>
      <c r="J113" s="163">
        <f ca="1">_xlfn.XLOOKUP($I113,'Baumaterialien Matériaux'!A:A,'Baumaterialien Matériaux'!G:G,0,0)</f>
        <v>0</v>
      </c>
      <c r="K113" s="262">
        <f t="shared" ca="1" si="175"/>
        <v>0</v>
      </c>
      <c r="L113" s="163" cm="1">
        <f t="array" aca="1" ref="L113" ca="1">INDEX( 'Eléments de constr. inté. et ex'!J:J, $F112)</f>
        <v>0</v>
      </c>
      <c r="M113" s="1522" cm="1">
        <f t="array" aca="1" ref="M113" ca="1">INDEX( 'Eléments de constr. inté. et ex'!H:H, $F112)</f>
        <v>0</v>
      </c>
      <c r="N113" s="1627">
        <f>'Outil détaillé'!E$31</f>
        <v>0</v>
      </c>
      <c r="O113" s="1502" cm="1">
        <f t="array" aca="1" ref="O113" ca="1">IFERROR(INDEX('Eléments de constr. inté. et ex'!M:M, $F112)*$K113/$M113,0)/$I$1*(1-0.8*N113)</f>
        <v>0</v>
      </c>
      <c r="P113" s="1416">
        <f t="shared" ca="1" si="170"/>
        <v>0</v>
      </c>
      <c r="Q113" s="1416">
        <f t="shared" ca="1" si="170"/>
        <v>0</v>
      </c>
      <c r="R113" s="256" cm="1">
        <f t="array" aca="1" ref="R113" ca="1">_xlfn.SWITCH(L113,R$3,O113+S113,P$3,P113,0)</f>
        <v>0</v>
      </c>
      <c r="S113" s="1410" cm="1">
        <f t="array" aca="1" ref="S113" ca="1">IFERROR(INDEX('Eléments de constr. inté. et ex'!N:N, $F112)*$K113/$M113,0)/$I$1*(1-0.8*N113)</f>
        <v>0</v>
      </c>
      <c r="T113" s="1411">
        <f t="shared" ca="1" si="176"/>
        <v>0</v>
      </c>
      <c r="U113" s="1530" cm="1">
        <f t="array" aca="1" ref="U113" ca="1">IFERROR(INDEX('Eléments de constr. inté. et ex'!O:O, $F112)*$K113/$M113,0)/$I$1*(1-0.8*N113)</f>
        <v>0</v>
      </c>
      <c r="V113" s="1502" cm="1">
        <f t="array" aca="1" ref="V113" ca="1">IFERROR(INDEX('Eléments de constr. inté. et ex'!K:K, $F112)*$K113/$M113,0)/$I$1*(1-0.8*N113)</f>
        <v>0</v>
      </c>
      <c r="W113" s="1416">
        <f t="shared" ca="1" si="172"/>
        <v>0</v>
      </c>
      <c r="X113" s="1416">
        <f t="shared" ca="1" si="172"/>
        <v>0</v>
      </c>
      <c r="Y113" s="256" cm="1">
        <f t="array" aca="1" ref="Y113" ca="1">_xlfn.SWITCH(T113,Y$3,V113+Z113,W$3,W113,0)</f>
        <v>0</v>
      </c>
      <c r="Z113" s="1410" cm="1">
        <f t="array" aca="1" ref="Z113" ca="1">IFERROR(INDEX('Eléments de constr. inté. et ex'!L:L, $F112)*$K113/$M113,0)/$I$1*(1-0.8*N113)</f>
        <v>0</v>
      </c>
      <c r="AA113" s="1460">
        <f t="shared" ca="1" si="177"/>
        <v>0</v>
      </c>
      <c r="AB113" s="1460"/>
    </row>
    <row r="114" spans="2:28" ht="15.75" outlineLevel="1">
      <c r="B114" s="1871"/>
      <c r="C114" s="1874"/>
      <c r="D114" s="163"/>
      <c r="E114" s="163"/>
      <c r="F114" s="163">
        <f t="shared" ca="1" si="174"/>
        <v>2</v>
      </c>
      <c r="G114" s="163" cm="1">
        <f t="array" aca="1" ref="G114" ca="1">INDEX( 'Eléments de constr. inté. et ex'!C:C, $F113)</f>
        <v>0</v>
      </c>
      <c r="H114" s="163" cm="1">
        <f t="array" aca="1" ref="H114" ca="1">INDEX( 'Eléments de constr. inté. et ex'!D:D, $F113)</f>
        <v>0</v>
      </c>
      <c r="I114" s="163" cm="1">
        <f t="array" aca="1" ref="I114" ca="1">INDEX( 'Eléments de constr. inté. et ex'!G:G, $F113)</f>
        <v>0</v>
      </c>
      <c r="J114" s="163">
        <f ca="1">_xlfn.XLOOKUP($I114,'Baumaterialien Matériaux'!A:A,'Baumaterialien Matériaux'!G:G,0,0)</f>
        <v>0</v>
      </c>
      <c r="K114" s="262">
        <f t="shared" ca="1" si="175"/>
        <v>0</v>
      </c>
      <c r="L114" s="163" cm="1">
        <f t="array" aca="1" ref="L114" ca="1">INDEX( 'Eléments de constr. inté. et ex'!J:J, $F113)</f>
        <v>0</v>
      </c>
      <c r="M114" s="1522" cm="1">
        <f t="array" aca="1" ref="M114" ca="1">INDEX( 'Eléments de constr. inté. et ex'!H:H, $F113)</f>
        <v>0</v>
      </c>
      <c r="N114" s="1627">
        <f>'Outil détaillé'!E$31</f>
        <v>0</v>
      </c>
      <c r="O114" s="1502" cm="1">
        <f t="array" aca="1" ref="O114" ca="1">IFERROR(INDEX('Eléments de constr. inté. et ex'!M:M, $F113)*$K114/$M114,0)/$I$1*(1-0.8*N114)</f>
        <v>0</v>
      </c>
      <c r="P114" s="1416">
        <f t="shared" ca="1" si="170"/>
        <v>0</v>
      </c>
      <c r="Q114" s="1416">
        <f t="shared" ca="1" si="170"/>
        <v>0</v>
      </c>
      <c r="R114" s="256" cm="1">
        <f t="array" aca="1" ref="R114" ca="1">_xlfn.SWITCH(L114,R$3,O114+S114,P$3,P114,0)</f>
        <v>0</v>
      </c>
      <c r="S114" s="1410" cm="1">
        <f t="array" aca="1" ref="S114" ca="1">IFERROR(INDEX('Eléments de constr. inté. et ex'!N:N, $F113)*$K114/$M114,0)/$I$1*(1-0.8*N114)</f>
        <v>0</v>
      </c>
      <c r="T114" s="1411">
        <f t="shared" ca="1" si="176"/>
        <v>0</v>
      </c>
      <c r="U114" s="1530" cm="1">
        <f t="array" aca="1" ref="U114" ca="1">IFERROR(INDEX('Eléments de constr. inté. et ex'!O:O, $F113)*$K114/$M114,0)/$I$1*(1-0.8*N114)</f>
        <v>0</v>
      </c>
      <c r="V114" s="1502" cm="1">
        <f t="array" aca="1" ref="V114" ca="1">IFERROR(INDEX('Eléments de constr. inté. et ex'!K:K, $F113)*$K114/$M114,0)/$I$1*(1-0.8*N114)</f>
        <v>0</v>
      </c>
      <c r="W114" s="1416">
        <f t="shared" ca="1" si="172"/>
        <v>0</v>
      </c>
      <c r="X114" s="1416">
        <f t="shared" ca="1" si="172"/>
        <v>0</v>
      </c>
      <c r="Y114" s="256" cm="1">
        <f t="array" aca="1" ref="Y114" ca="1">_xlfn.SWITCH(T114,Y$3,V114+Z114,W$3,W114,0)</f>
        <v>0</v>
      </c>
      <c r="Z114" s="1410" cm="1">
        <f t="array" aca="1" ref="Z114" ca="1">IFERROR(INDEX('Eléments de constr. inté. et ex'!L:L, $F113)*$K114/$M114,0)/$I$1*(1-0.8*N114)</f>
        <v>0</v>
      </c>
      <c r="AA114" s="1460">
        <f t="shared" ca="1" si="177"/>
        <v>0</v>
      </c>
      <c r="AB114" s="1460"/>
    </row>
    <row r="115" spans="2:28" ht="15.75" outlineLevel="1">
      <c r="B115" s="1871"/>
      <c r="C115" s="1874"/>
      <c r="D115" s="163"/>
      <c r="E115" s="163"/>
      <c r="F115" s="163">
        <f t="shared" ca="1" si="174"/>
        <v>2</v>
      </c>
      <c r="G115" s="163" cm="1">
        <f t="array" aca="1" ref="G115" ca="1">INDEX( 'Eléments de constr. inté. et ex'!C:C, $F114)</f>
        <v>0</v>
      </c>
      <c r="H115" s="163" cm="1">
        <f t="array" aca="1" ref="H115" ca="1">INDEX( 'Eléments de constr. inté. et ex'!D:D, $F114)</f>
        <v>0</v>
      </c>
      <c r="I115" s="163" cm="1">
        <f t="array" aca="1" ref="I115" ca="1">INDEX( 'Eléments de constr. inté. et ex'!G:G, $F114)</f>
        <v>0</v>
      </c>
      <c r="J115" s="163">
        <f ca="1">_xlfn.XLOOKUP($I115,'Baumaterialien Matériaux'!A:A,'Baumaterialien Matériaux'!G:G,0,0)</f>
        <v>0</v>
      </c>
      <c r="K115" s="262">
        <f t="shared" ca="1" si="175"/>
        <v>0</v>
      </c>
      <c r="L115" s="163" cm="1">
        <f t="array" aca="1" ref="L115" ca="1">INDEX( 'Eléments de constr. inté. et ex'!J:J, $F114)</f>
        <v>0</v>
      </c>
      <c r="M115" s="1522" cm="1">
        <f t="array" aca="1" ref="M115" ca="1">INDEX( 'Eléments de constr. inté. et ex'!H:H, $F114)</f>
        <v>0</v>
      </c>
      <c r="N115" s="1627">
        <f>'Outil détaillé'!E$31</f>
        <v>0</v>
      </c>
      <c r="O115" s="1502" cm="1">
        <f t="array" aca="1" ref="O115" ca="1">IFERROR(INDEX('Eléments de constr. inté. et ex'!M:M, $F114)*$K115/$M115,0)/$I$1*(1-0.8*N115)</f>
        <v>0</v>
      </c>
      <c r="P115" s="1416">
        <f t="shared" ca="1" si="170"/>
        <v>0</v>
      </c>
      <c r="Q115" s="1416">
        <f t="shared" ca="1" si="170"/>
        <v>0</v>
      </c>
      <c r="R115" s="256" cm="1">
        <f t="array" aca="1" ref="R115" ca="1">_xlfn.SWITCH(L115,R$3,O115+S115,P$3,P115,0)</f>
        <v>0</v>
      </c>
      <c r="S115" s="1410" cm="1">
        <f t="array" aca="1" ref="S115" ca="1">IFERROR(INDEX('Eléments de constr. inté. et ex'!N:N, $F114)*$K115/$M115,0)/$I$1*(1-0.8*N115)</f>
        <v>0</v>
      </c>
      <c r="T115" s="1411">
        <f t="shared" ca="1" si="176"/>
        <v>0</v>
      </c>
      <c r="U115" s="1530" cm="1">
        <f t="array" aca="1" ref="U115" ca="1">IFERROR(INDEX('Eléments de constr. inté. et ex'!O:O, $F114)*$K115/$M115,0)/$I$1*(1-0.8*N115)</f>
        <v>0</v>
      </c>
      <c r="V115" s="1502" cm="1">
        <f t="array" aca="1" ref="V115" ca="1">IFERROR(INDEX('Eléments de constr. inté. et ex'!K:K, $F114)*$K115/$M115,0)/$I$1*(1-0.8*N115)</f>
        <v>0</v>
      </c>
      <c r="W115" s="1416">
        <f t="shared" ca="1" si="172"/>
        <v>0</v>
      </c>
      <c r="X115" s="1416">
        <f t="shared" ca="1" si="172"/>
        <v>0</v>
      </c>
      <c r="Y115" s="256" cm="1">
        <f t="array" aca="1" ref="Y115" ca="1">_xlfn.SWITCH(T115,Y$3,V115+Z115,W$3,W115,0)</f>
        <v>0</v>
      </c>
      <c r="Z115" s="1410" cm="1">
        <f t="array" aca="1" ref="Z115" ca="1">IFERROR(INDEX('Eléments de constr. inté. et ex'!L:L, $F114)*$K115/$M115,0)/$I$1*(1-0.8*N115)</f>
        <v>0</v>
      </c>
      <c r="AA115" s="1460">
        <f t="shared" ca="1" si="177"/>
        <v>0</v>
      </c>
      <c r="AB115" s="1460"/>
    </row>
    <row r="116" spans="2:28" ht="15.75" outlineLevel="1">
      <c r="B116" s="1871"/>
      <c r="C116" s="1874"/>
      <c r="D116" s="163"/>
      <c r="E116" s="163"/>
      <c r="F116" s="163">
        <f t="shared" ca="1" si="174"/>
        <v>2</v>
      </c>
      <c r="G116" s="163" cm="1">
        <f t="array" aca="1" ref="G116" ca="1">INDEX( 'Eléments de constr. inté. et ex'!C:C, $F115)</f>
        <v>0</v>
      </c>
      <c r="H116" s="163" cm="1">
        <f t="array" aca="1" ref="H116" ca="1">INDEX( 'Eléments de constr. inté. et ex'!D:D, $F115)</f>
        <v>0</v>
      </c>
      <c r="I116" s="163" cm="1">
        <f t="array" aca="1" ref="I116" ca="1">INDEX( 'Eléments de constr. inté. et ex'!G:G, $F115)</f>
        <v>0</v>
      </c>
      <c r="J116" s="163">
        <f ca="1">_xlfn.XLOOKUP($I116,'Baumaterialien Matériaux'!A:A,'Baumaterialien Matériaux'!G:G,0,0)</f>
        <v>0</v>
      </c>
      <c r="K116" s="262">
        <f t="shared" ca="1" si="175"/>
        <v>0</v>
      </c>
      <c r="L116" s="163" cm="1">
        <f t="array" aca="1" ref="L116" ca="1">INDEX( 'Eléments de constr. inté. et ex'!J:J, $F115)</f>
        <v>0</v>
      </c>
      <c r="M116" s="1522" cm="1">
        <f t="array" aca="1" ref="M116" ca="1">INDEX( 'Eléments de constr. inté. et ex'!H:H, $F115)</f>
        <v>0</v>
      </c>
      <c r="N116" s="1627">
        <f>'Outil détaillé'!E$31</f>
        <v>0</v>
      </c>
      <c r="O116" s="1502" cm="1">
        <f t="array" aca="1" ref="O116" ca="1">IFERROR(INDEX('Eléments de constr. inté. et ex'!M:M, $F115)*$K116/$M116,0)/$I$1*(1-0.8*N116)</f>
        <v>0</v>
      </c>
      <c r="P116" s="1416">
        <f t="shared" ca="1" si="170"/>
        <v>0</v>
      </c>
      <c r="Q116" s="1416">
        <f t="shared" ca="1" si="170"/>
        <v>0</v>
      </c>
      <c r="R116" s="256" cm="1">
        <f t="array" aca="1" ref="R116" ca="1">_xlfn.SWITCH(L116,R$3,O116+S116,P$3,P116,0)</f>
        <v>0</v>
      </c>
      <c r="S116" s="1410" cm="1">
        <f t="array" aca="1" ref="S116" ca="1">IFERROR(INDEX('Eléments de constr. inté. et ex'!N:N, $F115)*$K116/$M116,0)/$I$1*(1-0.8*N116)</f>
        <v>0</v>
      </c>
      <c r="T116" s="1411">
        <f t="shared" ca="1" si="176"/>
        <v>0</v>
      </c>
      <c r="U116" s="1530" cm="1">
        <f t="array" aca="1" ref="U116" ca="1">IFERROR(INDEX('Eléments de constr. inté. et ex'!O:O, $F115)*$K116/$M116,0)/$I$1*(1-0.8*N116)</f>
        <v>0</v>
      </c>
      <c r="V116" s="1502" cm="1">
        <f t="array" aca="1" ref="V116" ca="1">IFERROR(INDEX('Eléments de constr. inté. et ex'!K:K, $F115)*$K116/$M116,0)/$I$1*(1-0.8*N116)</f>
        <v>0</v>
      </c>
      <c r="W116" s="1416">
        <f t="shared" ca="1" si="172"/>
        <v>0</v>
      </c>
      <c r="X116" s="1416">
        <f t="shared" ca="1" si="172"/>
        <v>0</v>
      </c>
      <c r="Y116" s="256" cm="1">
        <f t="array" aca="1" ref="Y116" ca="1">_xlfn.SWITCH(T116,Y$3,V116+Z116,W$3,W116,0)</f>
        <v>0</v>
      </c>
      <c r="Z116" s="1410" cm="1">
        <f t="array" aca="1" ref="Z116" ca="1">IFERROR(INDEX('Eléments de constr. inté. et ex'!L:L, $F115)*$K116/$M116,0)/$I$1*(1-0.8*N116)</f>
        <v>0</v>
      </c>
      <c r="AA116" s="1460">
        <f t="shared" ca="1" si="177"/>
        <v>0</v>
      </c>
      <c r="AB116" s="1460"/>
    </row>
    <row r="117" spans="2:28" ht="15.75" outlineLevel="1">
      <c r="B117" s="1871"/>
      <c r="C117" s="1874"/>
      <c r="D117" s="163"/>
      <c r="E117" s="163"/>
      <c r="F117" s="163">
        <f t="shared" ca="1" si="174"/>
        <v>2</v>
      </c>
      <c r="G117" s="163" cm="1">
        <f t="array" aca="1" ref="G117" ca="1">INDEX( 'Eléments de constr. inté. et ex'!C:C, $F116)</f>
        <v>0</v>
      </c>
      <c r="H117" s="163" cm="1">
        <f t="array" aca="1" ref="H117" ca="1">INDEX( 'Eléments de constr. inté. et ex'!D:D, $F116)</f>
        <v>0</v>
      </c>
      <c r="I117" s="163" cm="1">
        <f t="array" aca="1" ref="I117" ca="1">INDEX( 'Eléments de constr. inté. et ex'!G:G, $F116)</f>
        <v>0</v>
      </c>
      <c r="J117" s="163">
        <f ca="1">_xlfn.XLOOKUP($I117,'Baumaterialien Matériaux'!A:A,'Baumaterialien Matériaux'!G:G,0,0)</f>
        <v>0</v>
      </c>
      <c r="K117" s="262">
        <f t="shared" ca="1" si="175"/>
        <v>0</v>
      </c>
      <c r="L117" s="163" cm="1">
        <f t="array" aca="1" ref="L117" ca="1">INDEX( 'Eléments de constr. inté. et ex'!J:J, $F116)</f>
        <v>0</v>
      </c>
      <c r="M117" s="1522" cm="1">
        <f t="array" aca="1" ref="M117" ca="1">INDEX( 'Eléments de constr. inté. et ex'!H:H, $F116)</f>
        <v>0</v>
      </c>
      <c r="N117" s="1627">
        <f>'Outil détaillé'!E$31</f>
        <v>0</v>
      </c>
      <c r="O117" s="1502" cm="1">
        <f t="array" aca="1" ref="O117" ca="1">IFERROR(INDEX('Eléments de constr. inté. et ex'!M:M, $F116)*$K117/$M117,0)/$I$1*(1-0.8*N117)</f>
        <v>0</v>
      </c>
      <c r="P117" s="1416">
        <f t="shared" ca="1" si="170"/>
        <v>0</v>
      </c>
      <c r="Q117" s="1416">
        <f t="shared" ca="1" si="170"/>
        <v>0</v>
      </c>
      <c r="R117" s="256" cm="1">
        <f t="array" aca="1" ref="R117" ca="1">_xlfn.SWITCH(L117,R$3,O117+S117,P$3,P117,0)</f>
        <v>0</v>
      </c>
      <c r="S117" s="1410" cm="1">
        <f t="array" aca="1" ref="S117" ca="1">IFERROR(INDEX('Eléments de constr. inté. et ex'!N:N, $F116)*$K117/$M117,0)/$I$1*(1-0.8*N117)</f>
        <v>0</v>
      </c>
      <c r="T117" s="1411">
        <f t="shared" ca="1" si="176"/>
        <v>0</v>
      </c>
      <c r="U117" s="1530" cm="1">
        <f t="array" aca="1" ref="U117" ca="1">IFERROR(INDEX('Eléments de constr. inté. et ex'!O:O, $F116)*$K117/$M117,0)/$I$1*(1-0.8*N117)</f>
        <v>0</v>
      </c>
      <c r="V117" s="1502" cm="1">
        <f t="array" aca="1" ref="V117" ca="1">IFERROR(INDEX('Eléments de constr. inté. et ex'!K:K, $F116)*$K117/$M117,0)/$I$1*(1-0.8*N117)</f>
        <v>0</v>
      </c>
      <c r="W117" s="1416">
        <f t="shared" ca="1" si="172"/>
        <v>0</v>
      </c>
      <c r="X117" s="1416">
        <f t="shared" ca="1" si="172"/>
        <v>0</v>
      </c>
      <c r="Y117" s="256" cm="1">
        <f t="array" aca="1" ref="Y117" ca="1">_xlfn.SWITCH(T117,Y$3,V117+Z117,W$3,W117,0)</f>
        <v>0</v>
      </c>
      <c r="Z117" s="1410" cm="1">
        <f t="array" aca="1" ref="Z117" ca="1">IFERROR(INDEX('Eléments de constr. inté. et ex'!L:L, $F116)*$K117/$M117,0)/$I$1*(1-0.8*N117)</f>
        <v>0</v>
      </c>
      <c r="AA117" s="1460">
        <f t="shared" ca="1" si="177"/>
        <v>0</v>
      </c>
      <c r="AB117" s="1460"/>
    </row>
    <row r="118" spans="2:28" ht="15.75" outlineLevel="1">
      <c r="B118" s="1871"/>
      <c r="C118" s="1874"/>
      <c r="D118" s="163"/>
      <c r="E118" s="163"/>
      <c r="F118" s="163">
        <f t="shared" ca="1" si="174"/>
        <v>2</v>
      </c>
      <c r="G118" s="163" cm="1">
        <f t="array" aca="1" ref="G118" ca="1">INDEX( 'Eléments de constr. inté. et ex'!C:C, $F117)</f>
        <v>0</v>
      </c>
      <c r="H118" s="163" cm="1">
        <f t="array" aca="1" ref="H118" ca="1">INDEX( 'Eléments de constr. inté. et ex'!D:D, $F117)</f>
        <v>0</v>
      </c>
      <c r="I118" s="163" cm="1">
        <f t="array" aca="1" ref="I118" ca="1">INDEX( 'Eléments de constr. inté. et ex'!G:G, $F117)</f>
        <v>0</v>
      </c>
      <c r="J118" s="163">
        <f ca="1">_xlfn.XLOOKUP($I118,'Baumaterialien Matériaux'!A:A,'Baumaterialien Matériaux'!G:G,0,0)</f>
        <v>0</v>
      </c>
      <c r="K118" s="262">
        <f t="shared" ca="1" si="175"/>
        <v>0</v>
      </c>
      <c r="L118" s="163" cm="1">
        <f t="array" aca="1" ref="L118" ca="1">INDEX( 'Eléments de constr. inté. et ex'!J:J, $F117)</f>
        <v>0</v>
      </c>
      <c r="M118" s="1522" cm="1">
        <f t="array" aca="1" ref="M118" ca="1">INDEX( 'Eléments de constr. inté. et ex'!H:H, $F117)</f>
        <v>0</v>
      </c>
      <c r="N118" s="1627">
        <f>'Outil détaillé'!E$31</f>
        <v>0</v>
      </c>
      <c r="O118" s="1502" cm="1">
        <f t="array" aca="1" ref="O118" ca="1">IFERROR(INDEX('Eléments de constr. inté. et ex'!M:M, $F117)*$K118/$M118,0)/$I$1*(1-0.8*N118)</f>
        <v>0</v>
      </c>
      <c r="P118" s="1416">
        <f t="shared" ca="1" si="170"/>
        <v>0</v>
      </c>
      <c r="Q118" s="1416">
        <f t="shared" ca="1" si="170"/>
        <v>0</v>
      </c>
      <c r="R118" s="256" cm="1">
        <f t="array" aca="1" ref="R118" ca="1">_xlfn.SWITCH(L118,R$3,O118+S118,P$3,P118,0)</f>
        <v>0</v>
      </c>
      <c r="S118" s="1410" cm="1">
        <f t="array" aca="1" ref="S118" ca="1">IFERROR(INDEX('Eléments de constr. inté. et ex'!N:N, $F117)*$K118/$M118,0)/$I$1*(1-0.8*N118)</f>
        <v>0</v>
      </c>
      <c r="T118" s="1411">
        <f t="shared" ca="1" si="176"/>
        <v>0</v>
      </c>
      <c r="U118" s="1530" cm="1">
        <f t="array" aca="1" ref="U118" ca="1">IFERROR(INDEX('Eléments de constr. inté. et ex'!O:O, $F117)*$K118/$M118,0)/$I$1*(1-0.8*N118)</f>
        <v>0</v>
      </c>
      <c r="V118" s="1502" cm="1">
        <f t="array" aca="1" ref="V118" ca="1">IFERROR(INDEX('Eléments de constr. inté. et ex'!K:K, $F117)*$K118/$M118,0)/$I$1*(1-0.8*N118)</f>
        <v>0</v>
      </c>
      <c r="W118" s="1416">
        <f t="shared" ca="1" si="172"/>
        <v>0</v>
      </c>
      <c r="X118" s="1416">
        <f t="shared" ca="1" si="172"/>
        <v>0</v>
      </c>
      <c r="Y118" s="256" cm="1">
        <f t="array" aca="1" ref="Y118" ca="1">_xlfn.SWITCH(T118,Y$3,V118+Z118,W$3,W118,0)</f>
        <v>0</v>
      </c>
      <c r="Z118" s="1410" cm="1">
        <f t="array" aca="1" ref="Z118" ca="1">IFERROR(INDEX('Eléments de constr. inté. et ex'!L:L, $F117)*$K118/$M118,0)/$I$1*(1-0.8*N118)</f>
        <v>0</v>
      </c>
      <c r="AA118" s="1460">
        <f t="shared" ca="1" si="177"/>
        <v>0</v>
      </c>
      <c r="AB118" s="1460"/>
    </row>
    <row r="119" spans="2:28" ht="15.75">
      <c r="B119" s="1871"/>
      <c r="C119" s="1874"/>
      <c r="D119" s="163" t="s">
        <v>440</v>
      </c>
      <c r="E119" s="164" t="str">
        <f>'Outil détaillé'!F32</f>
        <v>Paroi placoplatre</v>
      </c>
      <c r="F119" s="801">
        <f ca="1">MATCH(E119, INDIRECT("'Eléments de constr. inté. et ex'!A"&amp;F109+1&amp;":A500"),0)+F109</f>
        <v>30</v>
      </c>
      <c r="G119" s="164"/>
      <c r="H119" s="164"/>
      <c r="I119" s="164"/>
      <c r="J119" s="512" t="s">
        <v>87</v>
      </c>
      <c r="K119" s="270">
        <f>'Outil détaillé'!K32</f>
        <v>64</v>
      </c>
      <c r="L119" s="271"/>
      <c r="M119" s="1467"/>
      <c r="N119" s="1623"/>
      <c r="O119" s="1488">
        <f t="shared" ref="O119" ca="1" si="178">SUM(O120:O126)</f>
        <v>10.8031896</v>
      </c>
      <c r="P119" s="1489">
        <f t="shared" ref="P119:U119" ca="1" si="179">SUM(P120:P126)</f>
        <v>0</v>
      </c>
      <c r="Q119" s="1489">
        <f t="shared" ca="1" si="179"/>
        <v>11.189885313600001</v>
      </c>
      <c r="R119" s="1489">
        <f t="shared" ca="1" si="179"/>
        <v>0</v>
      </c>
      <c r="S119" s="1489">
        <f t="shared" ca="1" si="179"/>
        <v>0.38669571359999999</v>
      </c>
      <c r="T119" s="1489">
        <f t="shared" ca="1" si="179"/>
        <v>22.379770627199999</v>
      </c>
      <c r="U119" s="1490">
        <f t="shared" ca="1" si="179"/>
        <v>1.9756000000000005</v>
      </c>
      <c r="V119" s="1488">
        <f t="shared" ref="V119" ca="1" si="180">SUM(V120:V126)</f>
        <v>45.279312000000004</v>
      </c>
      <c r="W119" s="1489">
        <f t="shared" ref="W119:Z119" ca="1" si="181">SUM(W120:W126)</f>
        <v>0</v>
      </c>
      <c r="X119" s="1489">
        <f t="shared" ca="1" si="181"/>
        <v>46.589960544000007</v>
      </c>
      <c r="Y119" s="1489">
        <f t="shared" ca="1" si="181"/>
        <v>0</v>
      </c>
      <c r="Z119" s="1489">
        <f t="shared" ca="1" si="181"/>
        <v>1.3106485439999997</v>
      </c>
      <c r="AA119" s="1490">
        <f t="shared" ref="AA119" ca="1" si="182">SUM(AA120:AA126)</f>
        <v>93.179921088000015</v>
      </c>
      <c r="AB119" s="1490"/>
    </row>
    <row r="120" spans="2:28" ht="15.75" outlineLevel="1">
      <c r="B120" s="1871"/>
      <c r="C120" s="1874"/>
      <c r="D120" s="163"/>
      <c r="E120" s="163"/>
      <c r="F120" s="163">
        <f ca="1">IF(I120=0,2,F119+1)</f>
        <v>31</v>
      </c>
      <c r="G120" s="163" t="str" cm="1">
        <f t="array" aca="1" ref="G120" ca="1">INDEX( 'Eléments de constr. inté. et ex'!C:C, $F119)</f>
        <v xml:space="preserve">2 x 12.5 mm </v>
      </c>
      <c r="H120" s="163" t="str" cm="1">
        <f t="array" aca="1" ref="H120" ca="1">INDEX( 'Eléments de constr. inté. et ex'!D:D, $F119)</f>
        <v>Plaque de plâtre armé de fibres</v>
      </c>
      <c r="I120" s="163" t="str" cm="1">
        <f t="array" aca="1" ref="I120" ca="1">INDEX( 'Eléments de constr. inté. et ex'!G:G, $F119)</f>
        <v>03.007</v>
      </c>
      <c r="J120" s="163" t="str">
        <f ca="1">_xlfn.XLOOKUP($I120,'Baumaterialien Matériaux'!A:A,'Baumaterialien Matériaux'!G:G,0,0)</f>
        <v>kg</v>
      </c>
      <c r="K120" s="262">
        <f ca="1">M120*$K$119</f>
        <v>1920</v>
      </c>
      <c r="L120" s="163" cm="1">
        <f t="array" aca="1" ref="L120" ca="1">INDEX( 'Eléments de constr. inté. et ex'!J:J, $F119)</f>
        <v>30</v>
      </c>
      <c r="M120" s="1522" cm="1">
        <f t="array" aca="1" ref="M120" ca="1">INDEX( 'Eléments de constr. inté. et ex'!H:H, $F119)</f>
        <v>30</v>
      </c>
      <c r="N120" s="1627">
        <f>'Outil détaillé'!E$32</f>
        <v>0</v>
      </c>
      <c r="O120" s="1502" cm="1">
        <f t="array" aca="1" ref="O120" ca="1">IFERROR(INDEX('Eléments de constr. inté. et ex'!M:M, $F119)*$K120/$M120,0)/$I$1*(1-0.8*N120)</f>
        <v>6.3959999999999999</v>
      </c>
      <c r="P120" s="1416">
        <f t="shared" ca="1" si="170"/>
        <v>0</v>
      </c>
      <c r="Q120" s="1416">
        <f t="shared" ca="1" si="170"/>
        <v>6.6192000000000002</v>
      </c>
      <c r="R120" s="256" cm="1">
        <f t="array" aca="1" ref="R120" ca="1">_xlfn.SWITCH(L120,R$3,O120+S120,P$3,P120,0)</f>
        <v>0</v>
      </c>
      <c r="S120" s="1410" cm="1">
        <f t="array" aca="1" ref="S120" ca="1">IFERROR(INDEX('Eléments de constr. inté. et ex'!N:N, $F119)*$K120/$M120,0)/$I$1*(1-0.8*N120)</f>
        <v>0.22319999999999998</v>
      </c>
      <c r="T120" s="1411">
        <f t="shared" ref="T120:T127" ca="1" si="183">SUM(O120:S120)</f>
        <v>13.2384</v>
      </c>
      <c r="U120" s="1530" cm="1">
        <f t="array" aca="1" ref="U120" ca="1">IFERROR(INDEX('Eléments de constr. inté. et ex'!O:O, $F119)*$K120/$M120,0)/$I$1*(1-0.8*N120)</f>
        <v>1.9756000000000005</v>
      </c>
      <c r="V120" s="1502" cm="1">
        <f t="array" aca="1" ref="V120" ca="1">IFERROR(INDEX('Eléments de constr. inté. et ex'!K:K, $F119)*$K120/$M120,0)/$I$1*(1-0.8*N120)</f>
        <v>28.68</v>
      </c>
      <c r="W120" s="1416">
        <f t="shared" ca="1" si="172"/>
        <v>0</v>
      </c>
      <c r="X120" s="1416">
        <f t="shared" ca="1" si="172"/>
        <v>29.6172</v>
      </c>
      <c r="Y120" s="256" cm="1">
        <f t="array" aca="1" ref="Y120" ca="1">_xlfn.SWITCH(T120,Y$3,V120+Z120,W$3,W120,0)</f>
        <v>0</v>
      </c>
      <c r="Z120" s="1410" cm="1">
        <f t="array" aca="1" ref="Z120" ca="1">IFERROR(INDEX('Eléments de constr. inté. et ex'!L:L, $F119)*$K120/$M120,0)/$I$1*(1-0.8*N120)</f>
        <v>0.93719999999999981</v>
      </c>
      <c r="AA120" s="1460">
        <f t="shared" ref="AA120:AA127" ca="1" si="184">SUM(V120:Z120)</f>
        <v>59.234400000000001</v>
      </c>
      <c r="AB120" s="1460"/>
    </row>
    <row r="121" spans="2:28" ht="15.75" outlineLevel="1">
      <c r="B121" s="1871"/>
      <c r="C121" s="1874"/>
      <c r="D121" s="163"/>
      <c r="E121" s="163"/>
      <c r="F121" s="163">
        <f t="shared" ref="F121:F127" ca="1" si="185">IF(I121=0,2,F120+1)</f>
        <v>32</v>
      </c>
      <c r="G121" s="163" t="str" cm="1">
        <f t="array" aca="1" ref="G121" ca="1">INDEX( 'Eléments de constr. inté. et ex'!C:C, $F120)</f>
        <v>Stahlprofile verzinkt [kg]</v>
      </c>
      <c r="H121" s="163" t="str" cm="1">
        <f t="array" aca="1" ref="H121" ca="1">INDEX( 'Eléments de constr. inté. et ex'!D:D, $F120)</f>
        <v>Tôle d'acier, zinguée</v>
      </c>
      <c r="I121" s="163" t="str" cm="1">
        <f t="array" aca="1" ref="I121" ca="1">INDEX( 'Eléments de constr. inté. et ex'!G:G, $F120)</f>
        <v>06.011</v>
      </c>
      <c r="J121" s="163" t="str">
        <f ca="1">_xlfn.XLOOKUP($I121,'Baumaterialien Matériaux'!A:A,'Baumaterialien Matériaux'!G:G,0,0)</f>
        <v>kg</v>
      </c>
      <c r="K121" s="262">
        <f t="shared" ref="K121:K127" ca="1" si="186">M121*$K$119</f>
        <v>84.403199999999998</v>
      </c>
      <c r="L121" s="163" cm="1">
        <f t="array" aca="1" ref="L121" ca="1">INDEX( 'Eléments de constr. inté. et ex'!J:J, $F120)</f>
        <v>30</v>
      </c>
      <c r="M121" s="1522" cm="1">
        <f t="array" aca="1" ref="M121" ca="1">INDEX( 'Eléments de constr. inté. et ex'!H:H, $F120)</f>
        <v>1.3188</v>
      </c>
      <c r="N121" s="1627">
        <f>'Outil détaillé'!E$32</f>
        <v>0</v>
      </c>
      <c r="O121" s="1502" cm="1">
        <f t="array" aca="1" ref="O121" ca="1">IFERROR(INDEX('Eléments de constr. inté. et ex'!M:M, $F120)*$K121/$M121,0)/$I$1*(1-0.8*N121)</f>
        <v>2.3632896000000003</v>
      </c>
      <c r="P121" s="1416">
        <f t="shared" ca="1" si="170"/>
        <v>0</v>
      </c>
      <c r="Q121" s="1416">
        <f t="shared" ca="1" si="170"/>
        <v>2.3669453136000005</v>
      </c>
      <c r="R121" s="256" cm="1">
        <f t="array" aca="1" ref="R121" ca="1">_xlfn.SWITCH(L121,R$3,O121+S121,P$3,P121,0)</f>
        <v>0</v>
      </c>
      <c r="S121" s="1410" cm="1">
        <f t="array" aca="1" ref="S121" ca="1">IFERROR(INDEX('Eléments de constr. inté. et ex'!N:N, $F120)*$K121/$M121,0)/$I$1*(1-0.8*N121)</f>
        <v>3.6557136000000003E-3</v>
      </c>
      <c r="T121" s="1411">
        <f t="shared" ca="1" si="183"/>
        <v>4.7338906272000001</v>
      </c>
      <c r="U121" s="1530" cm="1">
        <f t="array" aca="1" ref="U121" ca="1">IFERROR(INDEX('Eléments de constr. inté. et ex'!O:O, $F120)*$K121/$M121,0)/$I$1*(1-0.8*N121)</f>
        <v>0</v>
      </c>
      <c r="V121" s="1502" cm="1">
        <f t="array" aca="1" ref="V121" ca="1">IFERROR(INDEX('Eléments de constr. inté. et ex'!K:K, $F120)*$K121/$M121,0)/$I$1*(1-0.8*N121)</f>
        <v>8.2293120000000002</v>
      </c>
      <c r="W121" s="1416">
        <f t="shared" ca="1" si="172"/>
        <v>0</v>
      </c>
      <c r="X121" s="1416">
        <f t="shared" ca="1" si="172"/>
        <v>8.2436605440000008</v>
      </c>
      <c r="Y121" s="256" cm="1">
        <f t="array" aca="1" ref="Y121" ca="1">_xlfn.SWITCH(T121,Y$3,V121+Z121,W$3,W121,0)</f>
        <v>0</v>
      </c>
      <c r="Z121" s="1410" cm="1">
        <f t="array" aca="1" ref="Z121" ca="1">IFERROR(INDEX('Eléments de constr. inté. et ex'!L:L, $F120)*$K121/$M121,0)/$I$1*(1-0.8*N121)</f>
        <v>1.4348544E-2</v>
      </c>
      <c r="AA121" s="1460">
        <f t="shared" ca="1" si="184"/>
        <v>16.487321088000002</v>
      </c>
      <c r="AB121" s="1460"/>
    </row>
    <row r="122" spans="2:28" ht="15.75" outlineLevel="1">
      <c r="B122" s="1871"/>
      <c r="C122" s="1874"/>
      <c r="D122" s="163"/>
      <c r="E122" s="163"/>
      <c r="F122" s="163">
        <f t="shared" ca="1" si="185"/>
        <v>33</v>
      </c>
      <c r="G122" s="163" t="str" cm="1">
        <f t="array" aca="1" ref="G122" ca="1">INDEX( 'Eléments de constr. inté. et ex'!C:C, $F121)</f>
        <v>Steinwolle [kg]</v>
      </c>
      <c r="H122" s="163" t="str" cm="1">
        <f t="array" aca="1" ref="H122" ca="1">INDEX( 'Eléments de constr. inté. et ex'!D:D, $F121)</f>
        <v>Laine de roche</v>
      </c>
      <c r="I122" s="163" t="str" cm="1">
        <f t="array" aca="1" ref="I122" ca="1">INDEX( 'Eléments de constr. inté. et ex'!G:G, $F121)</f>
        <v>10.008</v>
      </c>
      <c r="J122" s="163" t="str">
        <f ca="1">_xlfn.XLOOKUP($I122,'Baumaterialien Matériaux'!A:A,'Baumaterialien Matériaux'!G:G,0,0)</f>
        <v>kg</v>
      </c>
      <c r="K122" s="262">
        <f t="shared" ca="1" si="186"/>
        <v>432</v>
      </c>
      <c r="L122" s="163" cm="1">
        <f t="array" aca="1" ref="L122" ca="1">INDEX( 'Eléments de constr. inté. et ex'!J:J, $F121)</f>
        <v>30</v>
      </c>
      <c r="M122" s="1522" cm="1">
        <f t="array" aca="1" ref="M122" ca="1">INDEX( 'Eléments de constr. inté. et ex'!H:H, $F121)</f>
        <v>6.75</v>
      </c>
      <c r="N122" s="1627">
        <f>'Outil détaillé'!E$32</f>
        <v>0</v>
      </c>
      <c r="O122" s="1502" cm="1">
        <f t="array" aca="1" ref="O122" ca="1">IFERROR(INDEX('Eléments de constr. inté. et ex'!M:M, $F121)*$K122/$M122,0)/$I$1*(1-0.8*N122)</f>
        <v>2.0438999999999998</v>
      </c>
      <c r="P122" s="1416">
        <f t="shared" ca="1" si="170"/>
        <v>0</v>
      </c>
      <c r="Q122" s="1416">
        <f t="shared" ca="1" si="170"/>
        <v>2.2037399999999998</v>
      </c>
      <c r="R122" s="256" cm="1">
        <f t="array" aca="1" ref="R122" ca="1">_xlfn.SWITCH(L122,R$3,O122+S122,P$3,P122,0)</f>
        <v>0</v>
      </c>
      <c r="S122" s="1410" cm="1">
        <f t="array" aca="1" ref="S122" ca="1">IFERROR(INDEX('Eléments de constr. inté. et ex'!N:N, $F121)*$K122/$M122,0)/$I$1*(1-0.8*N122)</f>
        <v>0.15984000000000001</v>
      </c>
      <c r="T122" s="1411">
        <f t="shared" ca="1" si="183"/>
        <v>4.4074799999999996</v>
      </c>
      <c r="U122" s="1530" cm="1">
        <f t="array" aca="1" ref="U122" ca="1">IFERROR(INDEX('Eléments de constr. inté. et ex'!O:O, $F121)*$K122/$M122,0)/$I$1*(1-0.8*N122)</f>
        <v>0</v>
      </c>
      <c r="V122" s="1502" cm="1">
        <f t="array" aca="1" ref="V122" ca="1">IFERROR(INDEX('Eléments de constr. inté. et ex'!K:K, $F121)*$K122/$M122,0)/$I$1*(1-0.8*N122)</f>
        <v>8.370000000000001</v>
      </c>
      <c r="W122" s="1416">
        <f t="shared" ca="1" si="172"/>
        <v>0</v>
      </c>
      <c r="X122" s="1416">
        <f t="shared" ca="1" si="172"/>
        <v>8.7291000000000007</v>
      </c>
      <c r="Y122" s="256" cm="1">
        <f t="array" aca="1" ref="Y122" ca="1">_xlfn.SWITCH(T122,Y$3,V122+Z122,W$3,W122,0)</f>
        <v>0</v>
      </c>
      <c r="Z122" s="1410" cm="1">
        <f t="array" aca="1" ref="Z122" ca="1">IFERROR(INDEX('Eléments de constr. inté. et ex'!L:L, $F121)*$K122/$M122,0)/$I$1*(1-0.8*N122)</f>
        <v>0.35910000000000003</v>
      </c>
      <c r="AA122" s="1460">
        <f t="shared" ca="1" si="184"/>
        <v>17.458200000000001</v>
      </c>
      <c r="AB122" s="1460"/>
    </row>
    <row r="123" spans="2:28" ht="15.75" outlineLevel="1">
      <c r="B123" s="1871"/>
      <c r="C123" s="1874"/>
      <c r="D123" s="163"/>
      <c r="E123" s="163"/>
      <c r="F123" s="163">
        <f t="shared" ca="1" si="185"/>
        <v>2</v>
      </c>
      <c r="G123" s="163" cm="1">
        <f t="array" aca="1" ref="G123" ca="1">INDEX( 'Eléments de constr. inté. et ex'!C:C, $F122)</f>
        <v>0</v>
      </c>
      <c r="H123" s="163" cm="1">
        <f t="array" aca="1" ref="H123" ca="1">INDEX( 'Eléments de constr. inté. et ex'!D:D, $F122)</f>
        <v>0</v>
      </c>
      <c r="I123" s="163" cm="1">
        <f t="array" aca="1" ref="I123" ca="1">INDEX( 'Eléments de constr. inté. et ex'!G:G, $F122)</f>
        <v>0</v>
      </c>
      <c r="J123" s="163">
        <f ca="1">_xlfn.XLOOKUP($I123,'Baumaterialien Matériaux'!A:A,'Baumaterialien Matériaux'!G:G,0,0)</f>
        <v>0</v>
      </c>
      <c r="K123" s="262">
        <f t="shared" ca="1" si="186"/>
        <v>0</v>
      </c>
      <c r="L123" s="163" cm="1">
        <f t="array" aca="1" ref="L123" ca="1">INDEX( 'Eléments de constr. inté. et ex'!J:J, $F122)</f>
        <v>30</v>
      </c>
      <c r="M123" s="1522" cm="1">
        <f t="array" aca="1" ref="M123" ca="1">INDEX( 'Eléments de constr. inté. et ex'!H:H, $F122)</f>
        <v>0</v>
      </c>
      <c r="N123" s="1627">
        <f>'Outil détaillé'!E$32</f>
        <v>0</v>
      </c>
      <c r="O123" s="1502" cm="1">
        <f t="array" aca="1" ref="O123" ca="1">IFERROR(INDEX('Eléments de constr. inté. et ex'!M:M, $F122)*$K123/$M123,0)/$I$1*(1-0.8*N123)</f>
        <v>0</v>
      </c>
      <c r="P123" s="1416">
        <f t="shared" ca="1" si="170"/>
        <v>0</v>
      </c>
      <c r="Q123" s="1416">
        <f t="shared" ca="1" si="170"/>
        <v>0</v>
      </c>
      <c r="R123" s="256" cm="1">
        <f t="array" aca="1" ref="R123" ca="1">_xlfn.SWITCH(L123,R$3,O123+S123,P$3,P123,0)</f>
        <v>0</v>
      </c>
      <c r="S123" s="1410" cm="1">
        <f t="array" aca="1" ref="S123" ca="1">IFERROR(INDEX('Eléments de constr. inté. et ex'!N:N, $F122)*$K123/$M123,0)/$I$1*(1-0.8*N123)</f>
        <v>0</v>
      </c>
      <c r="T123" s="1411">
        <f t="shared" ca="1" si="183"/>
        <v>0</v>
      </c>
      <c r="U123" s="1530" cm="1">
        <f t="array" aca="1" ref="U123" ca="1">IFERROR(INDEX('Eléments de constr. inté. et ex'!O:O, $F122)*$K123/$M123,0)/$I$1*(1-0.8*N123)</f>
        <v>0</v>
      </c>
      <c r="V123" s="1502" cm="1">
        <f t="array" aca="1" ref="V123" ca="1">IFERROR(INDEX('Eléments de constr. inté. et ex'!K:K, $F122)*$K123/$M123,0)/$I$1*(1-0.8*N123)</f>
        <v>0</v>
      </c>
      <c r="W123" s="1416">
        <f t="shared" ca="1" si="172"/>
        <v>0</v>
      </c>
      <c r="X123" s="1416">
        <f t="shared" ca="1" si="172"/>
        <v>0</v>
      </c>
      <c r="Y123" s="256" cm="1">
        <f t="array" aca="1" ref="Y123" ca="1">_xlfn.SWITCH(T123,Y$3,V123+Z123,W$3,W123,0)</f>
        <v>0</v>
      </c>
      <c r="Z123" s="1410" cm="1">
        <f t="array" aca="1" ref="Z123" ca="1">IFERROR(INDEX('Eléments de constr. inté. et ex'!L:L, $F122)*$K123/$M123,0)/$I$1*(1-0.8*N123)</f>
        <v>0</v>
      </c>
      <c r="AA123" s="1460">
        <f t="shared" ca="1" si="184"/>
        <v>0</v>
      </c>
      <c r="AB123" s="1460"/>
    </row>
    <row r="124" spans="2:28" ht="15.75" outlineLevel="1">
      <c r="B124" s="1871"/>
      <c r="C124" s="1874"/>
      <c r="D124" s="163"/>
      <c r="E124" s="163"/>
      <c r="F124" s="163">
        <f t="shared" ca="1" si="185"/>
        <v>2</v>
      </c>
      <c r="G124" s="163" cm="1">
        <f t="array" aca="1" ref="G124" ca="1">INDEX( 'Eléments de constr. inté. et ex'!C:C, $F123)</f>
        <v>0</v>
      </c>
      <c r="H124" s="163" cm="1">
        <f t="array" aca="1" ref="H124" ca="1">INDEX( 'Eléments de constr. inté. et ex'!D:D, $F123)</f>
        <v>0</v>
      </c>
      <c r="I124" s="163" cm="1">
        <f t="array" aca="1" ref="I124" ca="1">INDEX( 'Eléments de constr. inté. et ex'!G:G, $F123)</f>
        <v>0</v>
      </c>
      <c r="J124" s="163">
        <f ca="1">_xlfn.XLOOKUP($I124,'Baumaterialien Matériaux'!A:A,'Baumaterialien Matériaux'!G:G,0,0)</f>
        <v>0</v>
      </c>
      <c r="K124" s="262">
        <f t="shared" ca="1" si="186"/>
        <v>0</v>
      </c>
      <c r="L124" s="163" cm="1">
        <f t="array" aca="1" ref="L124" ca="1">INDEX( 'Eléments de constr. inté. et ex'!J:J, $F123)</f>
        <v>0</v>
      </c>
      <c r="M124" s="1522" cm="1">
        <f t="array" aca="1" ref="M124" ca="1">INDEX( 'Eléments de constr. inté. et ex'!H:H, $F123)</f>
        <v>0</v>
      </c>
      <c r="N124" s="1627">
        <f>'Outil détaillé'!E$32</f>
        <v>0</v>
      </c>
      <c r="O124" s="1502" cm="1">
        <f t="array" aca="1" ref="O124" ca="1">IFERROR(INDEX('Eléments de constr. inté. et ex'!M:M, $F123)*$K124/$M124,0)/$I$1*(1-0.8*N124)</f>
        <v>0</v>
      </c>
      <c r="P124" s="1416">
        <f t="shared" ca="1" si="170"/>
        <v>0</v>
      </c>
      <c r="Q124" s="1416">
        <f t="shared" ca="1" si="170"/>
        <v>0</v>
      </c>
      <c r="R124" s="256" cm="1">
        <f t="array" aca="1" ref="R124" ca="1">_xlfn.SWITCH(L124,R$3,O124+S124,P$3,P124,0)</f>
        <v>0</v>
      </c>
      <c r="S124" s="1410" cm="1">
        <f t="array" aca="1" ref="S124" ca="1">IFERROR(INDEX('Eléments de constr. inté. et ex'!N:N, $F123)*$K124/$M124,0)/$I$1*(1-0.8*N124)</f>
        <v>0</v>
      </c>
      <c r="T124" s="1411">
        <f t="shared" ca="1" si="183"/>
        <v>0</v>
      </c>
      <c r="U124" s="1530" cm="1">
        <f t="array" aca="1" ref="U124" ca="1">IFERROR(INDEX('Eléments de constr. inté. et ex'!O:O, $F123)*$K124/$M124,0)/$I$1*(1-0.8*N124)</f>
        <v>0</v>
      </c>
      <c r="V124" s="1502" cm="1">
        <f t="array" aca="1" ref="V124" ca="1">IFERROR(INDEX('Eléments de constr. inté. et ex'!K:K, $F123)*$K124/$M124,0)/$I$1*(1-0.8*N124)</f>
        <v>0</v>
      </c>
      <c r="W124" s="1416">
        <f t="shared" ca="1" si="172"/>
        <v>0</v>
      </c>
      <c r="X124" s="1416">
        <f t="shared" ca="1" si="172"/>
        <v>0</v>
      </c>
      <c r="Y124" s="256" cm="1">
        <f t="array" aca="1" ref="Y124" ca="1">_xlfn.SWITCH(T124,Y$3,V124+Z124,W$3,W124,0)</f>
        <v>0</v>
      </c>
      <c r="Z124" s="1410" cm="1">
        <f t="array" aca="1" ref="Z124" ca="1">IFERROR(INDEX('Eléments de constr. inté. et ex'!L:L, $F123)*$K124/$M124,0)/$I$1*(1-0.8*N124)</f>
        <v>0</v>
      </c>
      <c r="AA124" s="1460">
        <f t="shared" ca="1" si="184"/>
        <v>0</v>
      </c>
      <c r="AB124" s="1460"/>
    </row>
    <row r="125" spans="2:28" ht="15.75" outlineLevel="1">
      <c r="B125" s="1871"/>
      <c r="C125" s="1874"/>
      <c r="D125" s="163"/>
      <c r="E125" s="163"/>
      <c r="F125" s="163">
        <f t="shared" ca="1" si="185"/>
        <v>2</v>
      </c>
      <c r="G125" s="163" cm="1">
        <f t="array" aca="1" ref="G125" ca="1">INDEX( 'Eléments de constr. inté. et ex'!C:C, $F124)</f>
        <v>0</v>
      </c>
      <c r="H125" s="163" cm="1">
        <f t="array" aca="1" ref="H125" ca="1">INDEX( 'Eléments de constr. inté. et ex'!D:D, $F124)</f>
        <v>0</v>
      </c>
      <c r="I125" s="163" cm="1">
        <f t="array" aca="1" ref="I125" ca="1">INDEX( 'Eléments de constr. inté. et ex'!G:G, $F124)</f>
        <v>0</v>
      </c>
      <c r="J125" s="163">
        <f ca="1">_xlfn.XLOOKUP($I125,'Baumaterialien Matériaux'!A:A,'Baumaterialien Matériaux'!G:G,0,0)</f>
        <v>0</v>
      </c>
      <c r="K125" s="262">
        <f t="shared" ca="1" si="186"/>
        <v>0</v>
      </c>
      <c r="L125" s="163" cm="1">
        <f t="array" aca="1" ref="L125" ca="1">INDEX( 'Eléments de constr. inté. et ex'!J:J, $F124)</f>
        <v>0</v>
      </c>
      <c r="M125" s="1522" cm="1">
        <f t="array" aca="1" ref="M125" ca="1">INDEX( 'Eléments de constr. inté. et ex'!H:H, $F124)</f>
        <v>0</v>
      </c>
      <c r="N125" s="1627">
        <f>'Outil détaillé'!E$32</f>
        <v>0</v>
      </c>
      <c r="O125" s="1502" cm="1">
        <f t="array" aca="1" ref="O125" ca="1">IFERROR(INDEX('Eléments de constr. inté. et ex'!M:M, $F124)*$K125/$M125,0)/$I$1*(1-0.8*N125)</f>
        <v>0</v>
      </c>
      <c r="P125" s="1416">
        <f t="shared" ca="1" si="170"/>
        <v>0</v>
      </c>
      <c r="Q125" s="1416">
        <f t="shared" ca="1" si="170"/>
        <v>0</v>
      </c>
      <c r="R125" s="256" cm="1">
        <f t="array" aca="1" ref="R125" ca="1">_xlfn.SWITCH(L125,R$3,O125+S125,P$3,P125,0)</f>
        <v>0</v>
      </c>
      <c r="S125" s="1410" cm="1">
        <f t="array" aca="1" ref="S125" ca="1">IFERROR(INDEX('Eléments de constr. inté. et ex'!N:N, $F124)*$K125/$M125,0)/$I$1*(1-0.8*N125)</f>
        <v>0</v>
      </c>
      <c r="T125" s="1411">
        <f t="shared" ca="1" si="183"/>
        <v>0</v>
      </c>
      <c r="U125" s="1530" cm="1">
        <f t="array" aca="1" ref="U125" ca="1">IFERROR(INDEX('Eléments de constr. inté. et ex'!O:O, $F124)*$K125/$M125,0)/$I$1*(1-0.8*N125)</f>
        <v>0</v>
      </c>
      <c r="V125" s="1502" cm="1">
        <f t="array" aca="1" ref="V125" ca="1">IFERROR(INDEX('Eléments de constr. inté. et ex'!K:K, $F124)*$K125/$M125,0)/$I$1*(1-0.8*N125)</f>
        <v>0</v>
      </c>
      <c r="W125" s="1416">
        <f t="shared" ca="1" si="172"/>
        <v>0</v>
      </c>
      <c r="X125" s="1416">
        <f t="shared" ca="1" si="172"/>
        <v>0</v>
      </c>
      <c r="Y125" s="256" cm="1">
        <f t="array" aca="1" ref="Y125" ca="1">_xlfn.SWITCH(T125,Y$3,V125+Z125,W$3,W125,0)</f>
        <v>0</v>
      </c>
      <c r="Z125" s="1410" cm="1">
        <f t="array" aca="1" ref="Z125" ca="1">IFERROR(INDEX('Eléments de constr. inté. et ex'!L:L, $F124)*$K125/$M125,0)/$I$1*(1-0.8*N125)</f>
        <v>0</v>
      </c>
      <c r="AA125" s="1460">
        <f t="shared" ca="1" si="184"/>
        <v>0</v>
      </c>
      <c r="AB125" s="1460"/>
    </row>
    <row r="126" spans="2:28" ht="15.75" outlineLevel="1">
      <c r="B126" s="1871"/>
      <c r="C126" s="1874"/>
      <c r="D126" s="163"/>
      <c r="E126" s="163"/>
      <c r="F126" s="163">
        <f t="shared" ca="1" si="185"/>
        <v>2</v>
      </c>
      <c r="G126" s="163" cm="1">
        <f t="array" aca="1" ref="G126" ca="1">INDEX( 'Eléments de constr. inté. et ex'!C:C, $F125)</f>
        <v>0</v>
      </c>
      <c r="H126" s="163" cm="1">
        <f t="array" aca="1" ref="H126" ca="1">INDEX( 'Eléments de constr. inté. et ex'!D:D, $F125)</f>
        <v>0</v>
      </c>
      <c r="I126" s="163" cm="1">
        <f t="array" aca="1" ref="I126" ca="1">INDEX( 'Eléments de constr. inté. et ex'!G:G, $F125)</f>
        <v>0</v>
      </c>
      <c r="J126" s="163">
        <f ca="1">_xlfn.XLOOKUP($I126,'Baumaterialien Matériaux'!A:A,'Baumaterialien Matériaux'!G:G,0,0)</f>
        <v>0</v>
      </c>
      <c r="K126" s="262">
        <f t="shared" ca="1" si="186"/>
        <v>0</v>
      </c>
      <c r="L126" s="163" cm="1">
        <f t="array" aca="1" ref="L126" ca="1">INDEX( 'Eléments de constr. inté. et ex'!J:J, $F125)</f>
        <v>0</v>
      </c>
      <c r="M126" s="1522" cm="1">
        <f t="array" aca="1" ref="M126" ca="1">INDEX( 'Eléments de constr. inté. et ex'!H:H, $F125)</f>
        <v>0</v>
      </c>
      <c r="N126" s="1627">
        <f>'Outil détaillé'!E$32</f>
        <v>0</v>
      </c>
      <c r="O126" s="1502" cm="1">
        <f t="array" aca="1" ref="O126" ca="1">IFERROR(INDEX('Eléments de constr. inté. et ex'!M:M, $F125)*$K126/$M126,0)/$I$1*(1-0.8*N126)</f>
        <v>0</v>
      </c>
      <c r="P126" s="1416">
        <f t="shared" ca="1" si="170"/>
        <v>0</v>
      </c>
      <c r="Q126" s="1416">
        <f t="shared" ca="1" si="170"/>
        <v>0</v>
      </c>
      <c r="R126" s="256" cm="1">
        <f t="array" aca="1" ref="R126" ca="1">_xlfn.SWITCH(L126,R$3,O126+S126,P$3,P126,0)</f>
        <v>0</v>
      </c>
      <c r="S126" s="1410" cm="1">
        <f t="array" aca="1" ref="S126" ca="1">IFERROR(INDEX('Eléments de constr. inté. et ex'!N:N, $F125)*$K126/$M126,0)/$I$1*(1-0.8*N126)</f>
        <v>0</v>
      </c>
      <c r="T126" s="1411">
        <f t="shared" ca="1" si="183"/>
        <v>0</v>
      </c>
      <c r="U126" s="1530" cm="1">
        <f t="array" aca="1" ref="U126" ca="1">IFERROR(INDEX('Eléments de constr. inté. et ex'!O:O, $F125)*$K126/$M126,0)/$I$1*(1-0.8*N126)</f>
        <v>0</v>
      </c>
      <c r="V126" s="1502" cm="1">
        <f t="array" aca="1" ref="V126" ca="1">IFERROR(INDEX('Eléments de constr. inté. et ex'!K:K, $F125)*$K126/$M126,0)/$I$1*(1-0.8*N126)</f>
        <v>0</v>
      </c>
      <c r="W126" s="1416">
        <f t="shared" ca="1" si="172"/>
        <v>0</v>
      </c>
      <c r="X126" s="1416">
        <f t="shared" ca="1" si="172"/>
        <v>0</v>
      </c>
      <c r="Y126" s="256" cm="1">
        <f t="array" aca="1" ref="Y126" ca="1">_xlfn.SWITCH(T126,Y$3,V126+Z126,W$3,W126,0)</f>
        <v>0</v>
      </c>
      <c r="Z126" s="1410" cm="1">
        <f t="array" aca="1" ref="Z126" ca="1">IFERROR(INDEX('Eléments de constr. inté. et ex'!L:L, $F125)*$K126/$M126,0)/$I$1*(1-0.8*N126)</f>
        <v>0</v>
      </c>
      <c r="AA126" s="1460">
        <f t="shared" ca="1" si="184"/>
        <v>0</v>
      </c>
      <c r="AB126" s="1460"/>
    </row>
    <row r="127" spans="2:28" ht="15.75" outlineLevel="1">
      <c r="B127" s="1871"/>
      <c r="C127" s="1874"/>
      <c r="D127" s="163"/>
      <c r="E127" s="163"/>
      <c r="F127" s="163">
        <f t="shared" ca="1" si="185"/>
        <v>2</v>
      </c>
      <c r="G127" s="163" cm="1">
        <f t="array" aca="1" ref="G127" ca="1">INDEX( 'Eléments de constr. inté. et ex'!C:C, $F126)</f>
        <v>0</v>
      </c>
      <c r="H127" s="163" cm="1">
        <f t="array" aca="1" ref="H127" ca="1">INDEX( 'Eléments de constr. inté. et ex'!D:D, $F126)</f>
        <v>0</v>
      </c>
      <c r="I127" s="163" cm="1">
        <f t="array" aca="1" ref="I127" ca="1">INDEX( 'Eléments de constr. inté. et ex'!G:G, $F126)</f>
        <v>0</v>
      </c>
      <c r="J127" s="163">
        <f ca="1">_xlfn.XLOOKUP($I127,'Baumaterialien Matériaux'!A:A,'Baumaterialien Matériaux'!G:G,0,0)</f>
        <v>0</v>
      </c>
      <c r="K127" s="262">
        <f t="shared" ca="1" si="186"/>
        <v>0</v>
      </c>
      <c r="L127" s="163" cm="1">
        <f t="array" aca="1" ref="L127" ca="1">INDEX( 'Eléments de constr. inté. et ex'!J:J, $F126)</f>
        <v>0</v>
      </c>
      <c r="M127" s="1522" cm="1">
        <f t="array" aca="1" ref="M127" ca="1">INDEX( 'Eléments de constr. inté. et ex'!H:H, $F126)</f>
        <v>0</v>
      </c>
      <c r="N127" s="1627">
        <f>'Outil détaillé'!E$32</f>
        <v>0</v>
      </c>
      <c r="O127" s="1502" cm="1">
        <f t="array" aca="1" ref="O127" ca="1">IFERROR(INDEX('Eléments de constr. inté. et ex'!M:M, $F126)*$K127/$M127,0)/$I$1*(1-0.8*N127)</f>
        <v>0</v>
      </c>
      <c r="P127" s="1416">
        <f t="shared" ca="1" si="170"/>
        <v>0</v>
      </c>
      <c r="Q127" s="1416">
        <f t="shared" ca="1" si="170"/>
        <v>0</v>
      </c>
      <c r="R127" s="256" cm="1">
        <f t="array" aca="1" ref="R127" ca="1">_xlfn.SWITCH(L127,R$3,O127+S127,P$3,P127,0)</f>
        <v>0</v>
      </c>
      <c r="S127" s="1410" cm="1">
        <f t="array" aca="1" ref="S127" ca="1">IFERROR(INDEX('Eléments de constr. inté. et ex'!N:N, $F126)*$K127/$M127,0)/$I$1*(1-0.8*N127)</f>
        <v>0</v>
      </c>
      <c r="T127" s="1411">
        <f t="shared" ca="1" si="183"/>
        <v>0</v>
      </c>
      <c r="U127" s="1530" cm="1">
        <f t="array" aca="1" ref="U127" ca="1">IFERROR(INDEX('Eléments de constr. inté. et ex'!O:O, $F126)*$K127/$M127,0)/$I$1*(1-0.8*N127)</f>
        <v>0</v>
      </c>
      <c r="V127" s="1502" cm="1">
        <f t="array" aca="1" ref="V127" ca="1">IFERROR(INDEX('Eléments de constr. inté. et ex'!K:K, $F126)*$K127/$M127,0)/$I$1*(1-0.8*N127)</f>
        <v>0</v>
      </c>
      <c r="W127" s="1416">
        <f t="shared" ca="1" si="172"/>
        <v>0</v>
      </c>
      <c r="X127" s="1416">
        <f t="shared" ca="1" si="172"/>
        <v>0</v>
      </c>
      <c r="Y127" s="256" cm="1">
        <f t="array" aca="1" ref="Y127" ca="1">_xlfn.SWITCH(T127,Y$3,V127+Z127,W$3,W127,0)</f>
        <v>0</v>
      </c>
      <c r="Z127" s="1410" cm="1">
        <f t="array" aca="1" ref="Z127" ca="1">IFERROR(INDEX('Eléments de constr. inté. et ex'!L:L, $F126)*$K127/$M127,0)/$I$1*(1-0.8*N127)</f>
        <v>0</v>
      </c>
      <c r="AA127" s="1460">
        <f t="shared" ca="1" si="184"/>
        <v>0</v>
      </c>
      <c r="AB127" s="1460"/>
    </row>
    <row r="128" spans="2:28" ht="15.75">
      <c r="B128" s="1871"/>
      <c r="C128" s="1874"/>
      <c r="D128" s="163" t="str">
        <f>'Outil détaillé'!D33</f>
        <v>Cage ascenseur et escalier</v>
      </c>
      <c r="E128" s="657" t="str">
        <f>'Outil détaillé'!F33</f>
        <v>Béton</v>
      </c>
      <c r="F128" s="801">
        <f ca="1">MATCH(E128, INDIRECT("'Eléments de constr. inté. et ex'!A"&amp;F109+1&amp;":A500"),0)+F109</f>
        <v>5</v>
      </c>
      <c r="G128" s="657"/>
      <c r="H128" s="657"/>
      <c r="I128" s="657"/>
      <c r="J128" s="666"/>
      <c r="K128" s="658">
        <f>'Outil détaillé'!K33</f>
        <v>103.8</v>
      </c>
      <c r="L128" s="660"/>
      <c r="M128" s="1527"/>
      <c r="N128" s="1625"/>
      <c r="O128" s="1488">
        <f t="shared" ref="O128" ca="1" si="187">SUM(O129:O133)</f>
        <v>37.182797164012747</v>
      </c>
      <c r="P128" s="1489">
        <f t="shared" ref="P128:U128" ca="1" si="188">SUM(P129:P133)</f>
        <v>0</v>
      </c>
      <c r="Q128" s="1489">
        <f t="shared" ca="1" si="188"/>
        <v>0</v>
      </c>
      <c r="R128" s="1489">
        <f t="shared" ca="1" si="188"/>
        <v>0</v>
      </c>
      <c r="S128" s="1489">
        <f t="shared" ca="1" si="188"/>
        <v>4.0364066753980898</v>
      </c>
      <c r="T128" s="1489">
        <f t="shared" ca="1" si="188"/>
        <v>41.219203839410838</v>
      </c>
      <c r="U128" s="1490">
        <f t="shared" ca="1" si="188"/>
        <v>4.8409941249999999</v>
      </c>
      <c r="V128" s="1488">
        <f t="shared" ref="V128" ca="1" si="189">SUM(V129:V133)</f>
        <v>85.508659036624209</v>
      </c>
      <c r="W128" s="1489">
        <f t="shared" ref="W128:Z128" ca="1" si="190">SUM(W129:W133)</f>
        <v>0</v>
      </c>
      <c r="X128" s="1489">
        <f t="shared" ca="1" si="190"/>
        <v>0</v>
      </c>
      <c r="Y128" s="1489">
        <f t="shared" ca="1" si="190"/>
        <v>0</v>
      </c>
      <c r="Z128" s="1489">
        <f t="shared" ca="1" si="190"/>
        <v>16.039347154299364</v>
      </c>
      <c r="AA128" s="1490">
        <f t="shared" ref="AA128" ca="1" si="191">SUM(AA129:AA133)</f>
        <v>101.54800619092357</v>
      </c>
      <c r="AB128" s="1490"/>
    </row>
    <row r="129" spans="2:28" ht="15.75" outlineLevel="1">
      <c r="B129" s="1871"/>
      <c r="C129" s="1874"/>
      <c r="D129" s="163"/>
      <c r="E129" s="163"/>
      <c r="F129" s="163">
        <f ca="1">IF(I129=0,2,F128+1)</f>
        <v>6</v>
      </c>
      <c r="G129" s="163" t="str" cm="1">
        <f t="array" aca="1" ref="G129" ca="1">INDEX( 'Eléments de constr. inté. et ex'!C:C, $F128)</f>
        <v>Hochbaubeton, 20 cm [kg]</v>
      </c>
      <c r="H129" s="163" t="str" cm="1">
        <f t="array" aca="1" ref="H129" ca="1">INDEX( 'Eléments de constr. inté. et ex'!D:D, $F128)</f>
        <v>Béton pour bâtiment (sans armature)</v>
      </c>
      <c r="I129" s="163" t="str" cm="1">
        <f t="array" aca="1" ref="I129" ca="1">INDEX( 'Eléments de constr. inté. et ex'!G:G, $F128)</f>
        <v>01.002</v>
      </c>
      <c r="J129" s="163" t="str">
        <f ca="1">_xlfn.XLOOKUP($I129,'Baumaterialien Matériaux'!A:A,'Baumaterialien Matériaux'!G:G,0,0)</f>
        <v>kg</v>
      </c>
      <c r="K129" s="262">
        <f ca="1">M129*$K$128</f>
        <v>47154.951592356694</v>
      </c>
      <c r="L129" s="163" cm="1">
        <f t="array" aca="1" ref="L129" ca="1">INDEX( 'Eléments de constr. inté. et ex'!J:J, $F128)</f>
        <v>60</v>
      </c>
      <c r="M129" s="1522" cm="1">
        <f t="array" aca="1" ref="M129" ca="1">INDEX( 'Eléments de constr. inté. et ex'!H:H, $F128)</f>
        <v>454.2866242038217</v>
      </c>
      <c r="N129" s="1627">
        <f>'Outil détaillé'!E$33</f>
        <v>0</v>
      </c>
      <c r="O129" s="1502" cm="1">
        <f t="array" aca="1" ref="O129" ca="1">IFERROR(INDEX('Eléments de constr. inté. et ex'!M:M, $F128)*$K129/$M129,0)/$I$1*(1-0.8*N129)</f>
        <v>26.141526289012745</v>
      </c>
      <c r="P129" s="1416">
        <f t="shared" ca="1" si="170"/>
        <v>0</v>
      </c>
      <c r="Q129" s="1416">
        <f t="shared" ca="1" si="170"/>
        <v>0</v>
      </c>
      <c r="R129" s="256" cm="1">
        <f t="array" aca="1" ref="R129" ca="1">_xlfn.SWITCH(L129,R$3,O129+S129,P$3,P129,0)</f>
        <v>0</v>
      </c>
      <c r="S129" s="1410" cm="1">
        <f t="array" aca="1" ref="S129" ca="1">IFERROR(INDEX('Eléments de constr. inté. et ex'!N:N, $F128)*$K129/$M129,0)/$I$1*(1-0.8*N129)</f>
        <v>3.71345243789809</v>
      </c>
      <c r="T129" s="1411">
        <f t="shared" ref="T129:T133" ca="1" si="192">SUM(O129:S129)</f>
        <v>29.854978726910836</v>
      </c>
      <c r="U129" s="1530" cm="1">
        <f t="array" aca="1" ref="U129" ca="1">IFERROR(INDEX('Eléments de constr. inté. et ex'!O:O, $F128)*$K129/$M129,0)/$I$1*(1-0.8*N129)</f>
        <v>0</v>
      </c>
      <c r="V129" s="1502" cm="1">
        <f t="array" aca="1" ref="V129" ca="1">IFERROR(INDEX('Eléments de constr. inté. et ex'!K:K, $F128)*$K129/$M129,0)/$I$1*(1-0.8*N129)</f>
        <v>36.250369036624207</v>
      </c>
      <c r="W129" s="1416">
        <f t="shared" ca="1" si="172"/>
        <v>0</v>
      </c>
      <c r="X129" s="1416">
        <f t="shared" ca="1" si="172"/>
        <v>0</v>
      </c>
      <c r="Y129" s="256" cm="1">
        <f t="array" aca="1" ref="Y129" ca="1">_xlfn.SWITCH(T129,Y$3,V129+Z129,W$3,W129,0)</f>
        <v>0</v>
      </c>
      <c r="Z129" s="1410" cm="1">
        <f t="array" aca="1" ref="Z129" ca="1">IFERROR(INDEX('Eléments de constr. inté. et ex'!L:L, $F128)*$K129/$M129,0)/$I$1*(1-0.8*N129)</f>
        <v>15.119056354299364</v>
      </c>
      <c r="AA129" s="1460">
        <f t="shared" ref="AA129:AA133" ca="1" si="193">SUM(V129:Z129)</f>
        <v>51.369425390923567</v>
      </c>
      <c r="AB129" s="1460"/>
    </row>
    <row r="130" spans="2:28" ht="15.75" outlineLevel="1">
      <c r="B130" s="1871"/>
      <c r="C130" s="1874"/>
      <c r="D130" s="163"/>
      <c r="E130" s="163"/>
      <c r="F130" s="163">
        <f t="shared" ref="F130:F133" ca="1" si="194">IF(I130=0,2,F129+1)</f>
        <v>7</v>
      </c>
      <c r="G130" s="163" t="str" cm="1">
        <f t="array" aca="1" ref="G130" ca="1">INDEX( 'Eléments de constr. inté. et ex'!C:C, $F129)</f>
        <v>Armierungsstahl [kg]</v>
      </c>
      <c r="H130" s="163" t="str" cm="1">
        <f t="array" aca="1" ref="H130" ca="1">INDEX( 'Eléments de constr. inté. et ex'!D:D, $F129)</f>
        <v>Acier d'armature</v>
      </c>
      <c r="I130" s="163" t="str" cm="1">
        <f t="array" aca="1" ref="I130" ca="1">INDEX( 'Eléments de constr. inté. et ex'!G:G, $F129)</f>
        <v>06.003</v>
      </c>
      <c r="J130" s="163" t="str">
        <f ca="1">_xlfn.XLOOKUP($I130,'Baumaterialien Matériaux'!A:A,'Baumaterialien Matériaux'!G:G,0,0)</f>
        <v>kg</v>
      </c>
      <c r="K130" s="262">
        <f t="shared" ref="K130:K133" ca="1" si="195">M130*$K$128</f>
        <v>2024.1</v>
      </c>
      <c r="L130" s="163" cm="1">
        <f t="array" aca="1" ref="L130" ca="1">INDEX( 'Eléments de constr. inté. et ex'!J:J, $F129)</f>
        <v>60</v>
      </c>
      <c r="M130" s="1522" cm="1">
        <f t="array" aca="1" ref="M130" ca="1">INDEX( 'Eléments de constr. inté. et ex'!H:H, $F129)</f>
        <v>19.5</v>
      </c>
      <c r="N130" s="1627">
        <f>'Outil détaillé'!E$33</f>
        <v>0</v>
      </c>
      <c r="O130" s="1502" cm="1">
        <f t="array" aca="1" ref="O130" ca="1">IFERROR(INDEX('Eléments de constr. inté. et ex'!M:M, $F129)*$K130/$M130,0)/$I$1*(1-0.8*N130)</f>
        <v>9.778933125</v>
      </c>
      <c r="P130" s="1416">
        <f t="shared" ca="1" si="170"/>
        <v>0</v>
      </c>
      <c r="Q130" s="1416">
        <f t="shared" ca="1" si="170"/>
        <v>0</v>
      </c>
      <c r="R130" s="256" cm="1">
        <f t="array" aca="1" ref="R130" ca="1">_xlfn.SWITCH(L130,R$3,O130+S130,P$3,P130,0)</f>
        <v>0</v>
      </c>
      <c r="S130" s="1410" cm="1">
        <f t="array" aca="1" ref="S130" ca="1">IFERROR(INDEX('Eléments de constr. inté. et ex'!N:N, $F129)*$K130/$M130,0)/$I$1*(1-0.8*N130)</f>
        <v>0.15433762500000001</v>
      </c>
      <c r="T130" s="1411">
        <f t="shared" ca="1" si="192"/>
        <v>9.9332707500000001</v>
      </c>
      <c r="U130" s="1530" cm="1">
        <f t="array" aca="1" ref="U130" ca="1">IFERROR(INDEX('Eléments de constr. inté. et ex'!O:O, $F129)*$K130/$M130,0)/$I$1*(1-0.8*N130)</f>
        <v>0</v>
      </c>
      <c r="V130" s="1502" cm="1">
        <f t="array" aca="1" ref="V130" ca="1">IFERROR(INDEX('Eléments de constr. inté. et ex'!K:K, $F129)*$K130/$M130,0)/$I$1*(1-0.8*N130)</f>
        <v>42.885618749999999</v>
      </c>
      <c r="W130" s="1416">
        <f t="shared" ca="1" si="172"/>
        <v>0</v>
      </c>
      <c r="X130" s="1416">
        <f t="shared" ca="1" si="172"/>
        <v>0</v>
      </c>
      <c r="Y130" s="256" cm="1">
        <f t="array" aca="1" ref="Y130" ca="1">_xlfn.SWITCH(T130,Y$3,V130+Z130,W$3,W130,0)</f>
        <v>0</v>
      </c>
      <c r="Z130" s="1410" cm="1">
        <f t="array" aca="1" ref="Z130" ca="1">IFERROR(INDEX('Eléments de constr. inté. et ex'!L:L, $F129)*$K130/$M130,0)/$I$1*(1-0.8*N130)</f>
        <v>0.6388565625</v>
      </c>
      <c r="AA130" s="1460">
        <f t="shared" ca="1" si="193"/>
        <v>43.524475312500002</v>
      </c>
      <c r="AB130" s="1460"/>
    </row>
    <row r="131" spans="2:28" ht="15.75" outlineLevel="1">
      <c r="B131" s="1871"/>
      <c r="C131" s="1874"/>
      <c r="D131" s="163"/>
      <c r="E131" s="163"/>
      <c r="F131" s="163">
        <f t="shared" ca="1" si="194"/>
        <v>8</v>
      </c>
      <c r="G131" s="163" t="str" cm="1">
        <f t="array" aca="1" ref="G131" ca="1">INDEX( 'Eléments de constr. inté. et ex'!C:C, $F130)</f>
        <v>3-SP Schalung 2.5cm (Annahme 5xverwendet) [kg]</v>
      </c>
      <c r="H131" s="163" t="str" cm="1">
        <f t="array" aca="1" ref="H131" ca="1">INDEX( 'Eléments de constr. inté. et ex'!D:D, $F130)</f>
        <v>Bois massif 3 et 5 plis</v>
      </c>
      <c r="I131" s="163" t="str" cm="1">
        <f t="array" aca="1" ref="I131" ca="1">INDEX( 'Eléments de constr. inté. et ex'!G:G, $F130)</f>
        <v>07.001</v>
      </c>
      <c r="J131" s="163" t="str">
        <f ca="1">_xlfn.XLOOKUP($I131,'Baumaterialien Matériaux'!A:A,'Baumaterialien Matériaux'!G:G,0,0)</f>
        <v>kg</v>
      </c>
      <c r="K131" s="262">
        <f t="shared" ca="1" si="195"/>
        <v>487.86000000000007</v>
      </c>
      <c r="L131" s="163" cm="1">
        <f t="array" aca="1" ref="L131" ca="1">INDEX( 'Eléments de constr. inté. et ex'!J:J, $F130)</f>
        <v>60</v>
      </c>
      <c r="M131" s="1522" cm="1">
        <f t="array" aca="1" ref="M131" ca="1">INDEX( 'Eléments de constr. inté. et ex'!H:H, $F130)</f>
        <v>4.7000000000000011</v>
      </c>
      <c r="N131" s="1627">
        <f>'Outil détaillé'!E$33</f>
        <v>0</v>
      </c>
      <c r="O131" s="1502" cm="1">
        <f t="array" aca="1" ref="O131" ca="1">IFERROR(INDEX('Eléments de constr. inté. et ex'!M:M, $F130)*$K131/$M131,0)/$I$1*(1-0.8*N131)</f>
        <v>1.2623377500000001</v>
      </c>
      <c r="P131" s="1416">
        <f t="shared" ca="1" si="170"/>
        <v>0</v>
      </c>
      <c r="Q131" s="1416">
        <f t="shared" ca="1" si="170"/>
        <v>0</v>
      </c>
      <c r="R131" s="256" cm="1">
        <f t="array" aca="1" ref="R131" ca="1">_xlfn.SWITCH(L131,R$3,O131+S131,P$3,P131,0)</f>
        <v>0</v>
      </c>
      <c r="S131" s="1410" cm="1">
        <f t="array" aca="1" ref="S131" ca="1">IFERROR(INDEX('Eléments de constr. inté. et ex'!N:N, $F130)*$K131/$M131,0)/$I$1*(1-0.8*N131)</f>
        <v>0.16861661250000004</v>
      </c>
      <c r="T131" s="1411">
        <f t="shared" ca="1" si="192"/>
        <v>1.4309543625000001</v>
      </c>
      <c r="U131" s="1530" cm="1">
        <f t="array" aca="1" ref="U131" ca="1">IFERROR(INDEX('Eléments de constr. inté. et ex'!O:O, $F130)*$K131/$M131,0)/$I$1*(1-0.8*N131)</f>
        <v>4.8409941249999999</v>
      </c>
      <c r="V131" s="1502" cm="1">
        <f t="array" aca="1" ref="V131" ca="1">IFERROR(INDEX('Eléments de constr. inté. et ex'!K:K, $F130)*$K131/$M131,0)/$I$1*(1-0.8*N131)</f>
        <v>6.3726712500000007</v>
      </c>
      <c r="W131" s="1416">
        <f t="shared" ca="1" si="172"/>
        <v>0</v>
      </c>
      <c r="X131" s="1416">
        <f t="shared" ca="1" si="172"/>
        <v>0</v>
      </c>
      <c r="Y131" s="256" cm="1">
        <f t="array" aca="1" ref="Y131" ca="1">_xlfn.SWITCH(T131,Y$3,V131+Z131,W$3,W131,0)</f>
        <v>0</v>
      </c>
      <c r="Z131" s="1410" cm="1">
        <f t="array" aca="1" ref="Z131" ca="1">IFERROR(INDEX('Eléments de constr. inté. et ex'!L:L, $F130)*$K131/$M131,0)/$I$1*(1-0.8*N131)</f>
        <v>0.28143423750000002</v>
      </c>
      <c r="AA131" s="1460">
        <f t="shared" ca="1" si="193"/>
        <v>6.6541054875000007</v>
      </c>
      <c r="AB131" s="1460"/>
    </row>
    <row r="132" spans="2:28" ht="15.75" outlineLevel="1">
      <c r="B132" s="1871"/>
      <c r="C132" s="1874"/>
      <c r="D132" s="163"/>
      <c r="E132" s="163"/>
      <c r="F132" s="163">
        <f>IF(I132=0,2,F131+1)</f>
        <v>2</v>
      </c>
      <c r="G132" s="163" cm="1">
        <f t="array" aca="1" ref="G132" ca="1">INDEX( 'Eléments de constr. inté. et ex'!C:C, $F131)</f>
        <v>0</v>
      </c>
      <c r="H132" s="163" cm="1">
        <f t="array" aca="1" ref="H132" ca="1">INDEX( 'Eléments de constr. inté. et ex'!D:D, $F131)</f>
        <v>0</v>
      </c>
      <c r="I132" s="163">
        <v>0</v>
      </c>
      <c r="J132" s="163">
        <f>_xlfn.XLOOKUP($I132,'Baumaterialien Matériaux'!A:A,'Baumaterialien Matériaux'!G:G,0,0)</f>
        <v>0</v>
      </c>
      <c r="K132" s="262">
        <f t="shared" ca="1" si="195"/>
        <v>0</v>
      </c>
      <c r="L132" s="163" cm="1">
        <f t="array" aca="1" ref="L132" ca="1">INDEX( 'Eléments de constr. inté. et ex'!J:J, $F131)</f>
        <v>0</v>
      </c>
      <c r="M132" s="1522" cm="1">
        <f t="array" aca="1" ref="M132" ca="1">INDEX( 'Eléments de constr. inté. et ex'!H:H, $F131)</f>
        <v>0</v>
      </c>
      <c r="N132" s="1627">
        <f>'Outil détaillé'!E$33</f>
        <v>0</v>
      </c>
      <c r="O132" s="1502" cm="1">
        <f t="array" aca="1" ref="O132" ca="1">IFERROR(INDEX('Eléments de constr. inté. et ex'!M:M, $F131)*$K132/$M132,0)/$I$1*(1-0.8*N132)</f>
        <v>0</v>
      </c>
      <c r="P132" s="1416">
        <f t="shared" ca="1" si="170"/>
        <v>0</v>
      </c>
      <c r="Q132" s="1416">
        <f t="shared" ca="1" si="170"/>
        <v>0</v>
      </c>
      <c r="R132" s="256" cm="1">
        <f t="array" aca="1" ref="R132" ca="1">_xlfn.SWITCH(L132,R$3,O132+S132,P$3,P132,0)</f>
        <v>0</v>
      </c>
      <c r="S132" s="1410" cm="1">
        <f t="array" aca="1" ref="S132" ca="1">IFERROR(INDEX('Eléments de constr. inté. et ex'!N:N, $F131)*$K132/$M132,0)/$I$1*(1-0.8*N132)</f>
        <v>0</v>
      </c>
      <c r="T132" s="1411">
        <f t="shared" ca="1" si="192"/>
        <v>0</v>
      </c>
      <c r="U132" s="1530" cm="1">
        <f t="array" aca="1" ref="U132" ca="1">IFERROR(INDEX('Eléments de constr. inté. et ex'!O:O, $F131)*$K132/$M132,0)/$I$1*(1-0.8*N132)</f>
        <v>0</v>
      </c>
      <c r="V132" s="1502" cm="1">
        <f t="array" aca="1" ref="V132" ca="1">IFERROR(INDEX('Eléments de constr. inté. et ex'!K:K, $F131)*$K132/$M132,0)/$I$1*(1-0.8*N132)</f>
        <v>0</v>
      </c>
      <c r="W132" s="1416">
        <f t="shared" ca="1" si="172"/>
        <v>0</v>
      </c>
      <c r="X132" s="1416">
        <f t="shared" ca="1" si="172"/>
        <v>0</v>
      </c>
      <c r="Y132" s="256" cm="1">
        <f t="array" aca="1" ref="Y132" ca="1">_xlfn.SWITCH(T132,Y$3,V132+Z132,W$3,W132,0)</f>
        <v>0</v>
      </c>
      <c r="Z132" s="1410" cm="1">
        <f t="array" aca="1" ref="Z132" ca="1">IFERROR(INDEX('Eléments de constr. inté. et ex'!L:L, $F131)*$K132/$M132,0)/$I$1*(1-0.8*N132)</f>
        <v>0</v>
      </c>
      <c r="AA132" s="1460">
        <f t="shared" ca="1" si="193"/>
        <v>0</v>
      </c>
      <c r="AB132" s="1460"/>
    </row>
    <row r="133" spans="2:28" ht="15.75" outlineLevel="1">
      <c r="B133" s="1871"/>
      <c r="C133" s="1875"/>
      <c r="D133" s="163"/>
      <c r="E133" s="163"/>
      <c r="F133" s="163">
        <f t="shared" si="194"/>
        <v>2</v>
      </c>
      <c r="G133" s="163" cm="1">
        <f t="array" ref="G133">INDEX( 'Eléments de constr. inté. et ex'!C:C, $F132)</f>
        <v>0</v>
      </c>
      <c r="H133" s="163" cm="1">
        <f t="array" ref="H133">INDEX( 'Eléments de constr. inté. et ex'!D:D, $F132)</f>
        <v>0</v>
      </c>
      <c r="I133" s="163" cm="1">
        <f t="array" ref="I133">INDEX( 'Eléments de constr. inté. et ex'!G:G, $F132)</f>
        <v>0</v>
      </c>
      <c r="J133" s="163">
        <f>_xlfn.XLOOKUP($I133,'Baumaterialien Matériaux'!A:A,'Baumaterialien Matériaux'!G:G,0,0)</f>
        <v>0</v>
      </c>
      <c r="K133" s="262">
        <f t="shared" si="195"/>
        <v>0</v>
      </c>
      <c r="L133" s="163" cm="1">
        <f t="array" ref="L133">INDEX( 'Eléments de constr. inté. et ex'!J:J, $F132)</f>
        <v>0</v>
      </c>
      <c r="M133" s="1522" cm="1">
        <f t="array" ref="M133">INDEX( 'Eléments de constr. inté. et ex'!H:H, $F132)</f>
        <v>0</v>
      </c>
      <c r="N133" s="1627">
        <f>'Outil détaillé'!E$33</f>
        <v>0</v>
      </c>
      <c r="O133" s="1502" cm="1">
        <f t="array" ref="O133">IFERROR(INDEX('Eléments de constr. inté. et ex'!M:M, $F132)*$K133/$M133,0)/$I$1*(1-0.8*N133)</f>
        <v>0</v>
      </c>
      <c r="P133" s="1416">
        <f t="shared" si="170"/>
        <v>0</v>
      </c>
      <c r="Q133" s="1416">
        <f t="shared" si="170"/>
        <v>0</v>
      </c>
      <c r="R133" s="256" cm="1">
        <f t="array" ref="R133">_xlfn.SWITCH(L133,R$3,O133+S133,P$3,P133,0)</f>
        <v>0</v>
      </c>
      <c r="S133" s="1410" cm="1">
        <f t="array" ref="S133">IFERROR(INDEX('Eléments de constr. inté. et ex'!N:N, $F132)*$K133/$M133,0)/$I$1*(1-0.8*N133)</f>
        <v>0</v>
      </c>
      <c r="T133" s="1411">
        <f t="shared" si="192"/>
        <v>0</v>
      </c>
      <c r="U133" s="1530" cm="1">
        <f t="array" ref="U133">IFERROR(INDEX('Eléments de constr. inté. et ex'!O:O, $F132)*$K133/$M133,0)/$I$1*(1-0.8*N133)</f>
        <v>0</v>
      </c>
      <c r="V133" s="1502" cm="1">
        <f t="array" ref="V133">IFERROR(INDEX('Eléments de constr. inté. et ex'!K:K, $F132)*$K133/$M133,0)/$I$1*(1-0.8*N133)</f>
        <v>0</v>
      </c>
      <c r="W133" s="1416">
        <f t="shared" si="172"/>
        <v>0</v>
      </c>
      <c r="X133" s="1416">
        <f t="shared" si="172"/>
        <v>0</v>
      </c>
      <c r="Y133" s="256" cm="1">
        <f t="array" ref="Y133">_xlfn.SWITCH(T133,Y$3,V133+Z133,W$3,W133,0)</f>
        <v>0</v>
      </c>
      <c r="Z133" s="1410" cm="1">
        <f t="array" ref="Z133">IFERROR(INDEX('Eléments de constr. inté. et ex'!L:L, $F132)*$K133/$M133,0)/$I$1*(1-0.8*N133)</f>
        <v>0</v>
      </c>
      <c r="AA133" s="1460">
        <f t="shared" si="193"/>
        <v>0</v>
      </c>
      <c r="AB133" s="1460"/>
    </row>
    <row r="134" spans="2:28" ht="15.6" customHeight="1">
      <c r="B134" s="1871"/>
      <c r="C134" s="1873" t="str">
        <f>'Outil détaillé'!C34</f>
        <v>C04.01</v>
      </c>
      <c r="D134" s="162" t="str">
        <f>'Outil détaillé'!D34</f>
        <v>Planchers internes</v>
      </c>
      <c r="E134" s="162"/>
      <c r="F134" s="162">
        <f>MATCH(D134, 'Eléments de constr. inté. et ex'!B:B,0)</f>
        <v>39</v>
      </c>
      <c r="G134" s="162"/>
      <c r="H134" s="162"/>
      <c r="I134" s="162"/>
      <c r="J134" s="162"/>
      <c r="K134" s="265"/>
      <c r="L134" s="264"/>
      <c r="M134" s="1523"/>
      <c r="N134" s="1628"/>
      <c r="O134" s="1503">
        <f t="shared" ref="O134" ca="1" si="196">O135+O144+O153</f>
        <v>26.077550955414011</v>
      </c>
      <c r="P134" s="1504">
        <f t="shared" ref="P134:V134" ca="1" si="197">P135+P144+P153</f>
        <v>0</v>
      </c>
      <c r="Q134" s="1504">
        <f t="shared" ca="1" si="197"/>
        <v>0</v>
      </c>
      <c r="R134" s="1504">
        <f t="shared" ca="1" si="197"/>
        <v>0</v>
      </c>
      <c r="S134" s="1504">
        <f t="shared" ca="1" si="197"/>
        <v>5.0901223566878979</v>
      </c>
      <c r="T134" s="1504">
        <f t="shared" ca="1" si="197"/>
        <v>31.167673312101911</v>
      </c>
      <c r="U134" s="1505">
        <f t="shared" ca="1" si="197"/>
        <v>95.478716666666656</v>
      </c>
      <c r="V134" s="1503">
        <f t="shared" ca="1" si="197"/>
        <v>61.06074681528662</v>
      </c>
      <c r="W134" s="1504">
        <f t="shared" ref="W134:Z134" ca="1" si="198">W135+W144+W153</f>
        <v>0</v>
      </c>
      <c r="X134" s="1504">
        <f t="shared" ca="1" si="198"/>
        <v>0</v>
      </c>
      <c r="Y134" s="1504">
        <f t="shared" ca="1" si="198"/>
        <v>0</v>
      </c>
      <c r="Z134" s="1504">
        <f t="shared" ca="1" si="198"/>
        <v>16.313707452229302</v>
      </c>
      <c r="AA134" s="1505">
        <f t="shared" ref="AA134" ca="1" si="199">AA135+AA144+AA153</f>
        <v>77.374454267515915</v>
      </c>
      <c r="AB134" s="1505"/>
    </row>
    <row r="135" spans="2:28" ht="15.75">
      <c r="B135" s="1871"/>
      <c r="C135" s="1874"/>
      <c r="D135" s="163" t="s">
        <v>443</v>
      </c>
      <c r="E135" s="164" t="str">
        <f>'Outil détaillé'!F35</f>
        <v>Système mixte bois-béton</v>
      </c>
      <c r="F135" s="801">
        <f ca="1">MATCH(E135, INDIRECT("'Eléments de constr. inté. et ex'!A"&amp;F134+1&amp;":A500"),0)+F134</f>
        <v>55</v>
      </c>
      <c r="G135" s="164"/>
      <c r="H135" s="164"/>
      <c r="I135" s="164"/>
      <c r="J135" s="164" t="s">
        <v>87</v>
      </c>
      <c r="K135" s="270">
        <f>'Outil détaillé'!K35</f>
        <v>80</v>
      </c>
      <c r="L135" s="271"/>
      <c r="M135" s="1467"/>
      <c r="N135" s="1623"/>
      <c r="O135" s="1488">
        <f t="shared" ref="O135" ca="1" si="200">SUM(O136:O143)</f>
        <v>13.038775477707006</v>
      </c>
      <c r="P135" s="1489">
        <f t="shared" ref="P135:U135" ca="1" si="201">SUM(P136:P143)</f>
        <v>0</v>
      </c>
      <c r="Q135" s="1489">
        <f t="shared" ca="1" si="201"/>
        <v>0</v>
      </c>
      <c r="R135" s="1489">
        <f t="shared" ca="1" si="201"/>
        <v>0</v>
      </c>
      <c r="S135" s="1489">
        <f t="shared" ca="1" si="201"/>
        <v>2.545061178343949</v>
      </c>
      <c r="T135" s="1489">
        <f t="shared" ca="1" si="201"/>
        <v>15.583836656050956</v>
      </c>
      <c r="U135" s="1490">
        <f t="shared" ca="1" si="201"/>
        <v>47.739358333333328</v>
      </c>
      <c r="V135" s="1488">
        <f t="shared" ref="V135" ca="1" si="202">SUM(V136:V143)</f>
        <v>30.53037340764331</v>
      </c>
      <c r="W135" s="1489">
        <f t="shared" ref="W135:Z135" ca="1" si="203">SUM(W136:W143)</f>
        <v>0</v>
      </c>
      <c r="X135" s="1489">
        <f t="shared" ca="1" si="203"/>
        <v>0</v>
      </c>
      <c r="Y135" s="1489">
        <f t="shared" ca="1" si="203"/>
        <v>0</v>
      </c>
      <c r="Z135" s="1489">
        <f t="shared" ca="1" si="203"/>
        <v>8.156853726114651</v>
      </c>
      <c r="AA135" s="1490">
        <f t="shared" ref="AA135" ca="1" si="204">SUM(AA136:AA143)</f>
        <v>38.687227133757958</v>
      </c>
      <c r="AB135" s="1490"/>
    </row>
    <row r="136" spans="2:28" ht="15.75" outlineLevel="1">
      <c r="B136" s="1871"/>
      <c r="C136" s="1874"/>
      <c r="D136" s="163"/>
      <c r="E136" s="163"/>
      <c r="F136" s="163">
        <f ca="1">IF(I136=0,2,F135+1)</f>
        <v>56</v>
      </c>
      <c r="G136" s="163" t="str" cm="1">
        <f t="array" aca="1" ref="G136" ca="1">INDEX( 'Eléments de constr. inté. et ex'!C:C, $F135)</f>
        <v>Hochbaubeton 9cm [kg]</v>
      </c>
      <c r="H136" s="163" t="str" cm="1">
        <f t="array" aca="1" ref="H136" ca="1">INDEX( 'Eléments de constr. inté. et ex'!D:D, $F135)</f>
        <v>Béton pour bâtiment (sans armature)</v>
      </c>
      <c r="I136" s="163" t="str" cm="1">
        <f t="array" aca="1" ref="I136" ca="1">INDEX( 'Eléments de constr. inté. et ex'!G:G, $F135)</f>
        <v>01.002</v>
      </c>
      <c r="J136" s="163" t="str">
        <f ca="1">_xlfn.XLOOKUP($I136,'Baumaterialien Matériaux'!A:A,'Baumaterialien Matériaux'!G:G,0,0)</f>
        <v>kg</v>
      </c>
      <c r="K136" s="514">
        <f ca="1">M136*$K$135</f>
        <v>16496.713375796178</v>
      </c>
      <c r="L136" s="163" cm="1">
        <f t="array" aca="1" ref="L136" ca="1">INDEX( 'Eléments de constr. inté. et ex'!J:J, $F135)</f>
        <v>60</v>
      </c>
      <c r="M136" s="1522" cm="1">
        <f t="array" aca="1" ref="M136" ca="1">INDEX( 'Eléments de constr. inté. et ex'!H:H, $F135)</f>
        <v>206.20891719745222</v>
      </c>
      <c r="N136" s="1627">
        <f>'Outil détaillé'!E$35</f>
        <v>0</v>
      </c>
      <c r="O136" s="1502" cm="1">
        <f t="array" aca="1" ref="O136" ca="1">IFERROR(INDEX('Eléments de constr. inté. et ex'!M:M, $F135)*$K136/$M136,0)/$I$1*(1-0.8*N136)</f>
        <v>9.1453654777070064</v>
      </c>
      <c r="P136" s="1416">
        <f t="shared" ref="P136:Q143" ca="1" si="205">IF($L136=P$3,$O136+$S136,0)</f>
        <v>0</v>
      </c>
      <c r="Q136" s="1416">
        <f t="shared" ca="1" si="205"/>
        <v>0</v>
      </c>
      <c r="R136" s="256" cm="1">
        <f t="array" aca="1" ref="R136" ca="1">_xlfn.SWITCH(L136,R$3,O136+S136,P$3,P136,0)</f>
        <v>0</v>
      </c>
      <c r="S136" s="1410" cm="1">
        <f t="array" aca="1" ref="S136" ca="1">IFERROR(INDEX('Eléments de constr. inté. et ex'!N:N, $F135)*$K136/$M136,0)/$I$1*(1-0.8*N136)</f>
        <v>1.2991161783439491</v>
      </c>
      <c r="T136" s="1411">
        <f t="shared" ref="T136:T143" ca="1" si="206">SUM(O136:S136)</f>
        <v>10.444481656050955</v>
      </c>
      <c r="U136" s="1530" cm="1">
        <f t="array" aca="1" ref="U136" ca="1">IFERROR(INDEX('Eléments de constr. inté. et ex'!O:O, $F135)*$K136/$M136,0)/$I$1*(1-0.8*N136)</f>
        <v>0</v>
      </c>
      <c r="V136" s="1502" cm="1">
        <f t="array" aca="1" ref="V136" ca="1">IFERROR(INDEX('Eléments de constr. inté. et ex'!K:K, $F135)*$K136/$M136,0)/$I$1*(1-0.8*N136)</f>
        <v>12.681848407643312</v>
      </c>
      <c r="W136" s="1416">
        <f t="shared" ref="W136:X143" ca="1" si="207">IF($L136=W$3,$V136+$Z136,0)</f>
        <v>0</v>
      </c>
      <c r="X136" s="1416">
        <f t="shared" ca="1" si="207"/>
        <v>0</v>
      </c>
      <c r="Y136" s="256" cm="1">
        <f t="array" aca="1" ref="Y136" ca="1">_xlfn.SWITCH(T136,Y$3,V136+Z136,W$3,W136,0)</f>
        <v>0</v>
      </c>
      <c r="Z136" s="1410" cm="1">
        <f t="array" aca="1" ref="Z136" ca="1">IFERROR(INDEX('Eléments de constr. inté. et ex'!L:L, $F135)*$K136/$M136,0)/$I$1*(1-0.8*N136)</f>
        <v>5.2892587261146495</v>
      </c>
      <c r="AA136" s="1460">
        <f t="shared" ref="AA136:AA143" ca="1" si="208">SUM(V136:Z136)</f>
        <v>17.971107133757961</v>
      </c>
      <c r="AB136" s="1460"/>
    </row>
    <row r="137" spans="2:28" ht="15.75" outlineLevel="1">
      <c r="B137" s="1871"/>
      <c r="C137" s="1874"/>
      <c r="D137" s="163"/>
      <c r="E137" s="163"/>
      <c r="F137" s="163">
        <f t="shared" ref="F137:F143" ca="1" si="209">IF(I137=0,2,F136+1)</f>
        <v>57</v>
      </c>
      <c r="G137" s="163" t="str" cm="1">
        <f t="array" aca="1" ref="G137" ca="1">INDEX( 'Eléments de constr. inté. et ex'!C:C, $F136)</f>
        <v>Armierungsstahl [kg]</v>
      </c>
      <c r="H137" s="163" t="str" cm="1">
        <f t="array" aca="1" ref="H137" ca="1">INDEX( 'Eléments de constr. inté. et ex'!D:D, $F136)</f>
        <v>Acier d'armature</v>
      </c>
      <c r="I137" s="163" t="str" cm="1">
        <f t="array" aca="1" ref="I137" ca="1">INDEX( 'Eléments de constr. inté. et ex'!G:G, $F136)</f>
        <v>06.003</v>
      </c>
      <c r="J137" s="163" t="str">
        <f ca="1">_xlfn.XLOOKUP($I137,'Baumaterialien Matériaux'!A:A,'Baumaterialien Matériaux'!G:G,0,0)</f>
        <v>kg</v>
      </c>
      <c r="K137" s="262">
        <f t="shared" ref="K137:K143" ca="1" si="210">M137*$K$135</f>
        <v>216</v>
      </c>
      <c r="L137" s="163" cm="1">
        <f t="array" aca="1" ref="L137" ca="1">INDEX( 'Eléments de constr. inté. et ex'!J:J, $F136)</f>
        <v>60</v>
      </c>
      <c r="M137" s="1522" cm="1">
        <f t="array" aca="1" ref="M137" ca="1">INDEX( 'Eléments de constr. inté. et ex'!H:H, $F136)</f>
        <v>2.7</v>
      </c>
      <c r="N137" s="1627">
        <f>'Outil détaillé'!E$35</f>
        <v>0</v>
      </c>
      <c r="O137" s="1502" cm="1">
        <f t="array" aca="1" ref="O137" ca="1">IFERROR(INDEX('Eléments de constr. inté. et ex'!M:M, $F136)*$K137/$M137,0)/$I$1*(1-0.8*N137)</f>
        <v>1.0435500000000002</v>
      </c>
      <c r="P137" s="1416">
        <f t="shared" ca="1" si="205"/>
        <v>0</v>
      </c>
      <c r="Q137" s="1416">
        <f t="shared" ca="1" si="205"/>
        <v>0</v>
      </c>
      <c r="R137" s="256" cm="1">
        <f t="array" aca="1" ref="R137" ca="1">_xlfn.SWITCH(L137,R$3,O137+S137,P$3,P137,0)</f>
        <v>0</v>
      </c>
      <c r="S137" s="1410" cm="1">
        <f t="array" aca="1" ref="S137" ca="1">IFERROR(INDEX('Eléments de constr. inté. et ex'!N:N, $F136)*$K137/$M137,0)/$I$1*(1-0.8*N137)</f>
        <v>1.6470000000000002E-2</v>
      </c>
      <c r="T137" s="1411">
        <f t="shared" ca="1" si="206"/>
        <v>1.0600200000000002</v>
      </c>
      <c r="U137" s="1530" cm="1">
        <f t="array" aca="1" ref="U137" ca="1">IFERROR(INDEX('Eléments de constr. inté. et ex'!O:O, $F136)*$K137/$M137,0)/$I$1*(1-0.8*N137)</f>
        <v>0</v>
      </c>
      <c r="V137" s="1502" cm="1">
        <f t="array" aca="1" ref="V137" ca="1">IFERROR(INDEX('Eléments de constr. inté. et ex'!K:K, $F136)*$K137/$M137,0)/$I$1*(1-0.8*N137)</f>
        <v>4.5765000000000002</v>
      </c>
      <c r="W137" s="1416">
        <f t="shared" ca="1" si="207"/>
        <v>0</v>
      </c>
      <c r="X137" s="1416">
        <f t="shared" ca="1" si="207"/>
        <v>0</v>
      </c>
      <c r="Y137" s="256" cm="1">
        <f t="array" aca="1" ref="Y137" ca="1">_xlfn.SWITCH(T137,Y$3,V137+Z137,W$3,W137,0)</f>
        <v>0</v>
      </c>
      <c r="Z137" s="1410" cm="1">
        <f t="array" aca="1" ref="Z137" ca="1">IFERROR(INDEX('Eléments de constr. inté. et ex'!L:L, $F136)*$K137/$M137,0)/$I$1*(1-0.8*N137)</f>
        <v>6.8175000000000013E-2</v>
      </c>
      <c r="AA137" s="1460">
        <f t="shared" ca="1" si="208"/>
        <v>4.6446750000000003</v>
      </c>
      <c r="AB137" s="1460"/>
    </row>
    <row r="138" spans="2:28" ht="15.75" outlineLevel="1">
      <c r="B138" s="1871"/>
      <c r="C138" s="1874"/>
      <c r="D138" s="163"/>
      <c r="E138" s="163"/>
      <c r="F138" s="163">
        <f t="shared" ca="1" si="209"/>
        <v>58</v>
      </c>
      <c r="G138" s="163" t="str" cm="1">
        <f t="array" aca="1" ref="G138" ca="1">INDEX( 'Eléments de constr. inté. et ex'!C:C, $F137)</f>
        <v>Nadelschnittholz [kg]</v>
      </c>
      <c r="H138" s="163" t="str" cm="1">
        <f t="array" aca="1" ref="H138" ca="1">INDEX( 'Eléments de constr. inté. et ex'!D:D, $F137)</f>
        <v>Bois massif épicéa / sapin / mélèze, séché à l'air, brut</v>
      </c>
      <c r="I138" s="163" t="str" cm="1">
        <f t="array" aca="1" ref="I138" ca="1">INDEX( 'Eléments de constr. inté. et ex'!G:G, $F137)</f>
        <v>07.009</v>
      </c>
      <c r="J138" s="163" t="str">
        <f ca="1">_xlfn.XLOOKUP($I138,'Baumaterialien Matériaux'!A:A,'Baumaterialien Matériaux'!G:G,0,0)</f>
        <v>kg</v>
      </c>
      <c r="K138" s="262">
        <f t="shared" ca="1" si="210"/>
        <v>5044</v>
      </c>
      <c r="L138" s="163" cm="1">
        <f t="array" aca="1" ref="L138" ca="1">INDEX( 'Eléments de constr. inté. et ex'!J:J, $F137)</f>
        <v>60</v>
      </c>
      <c r="M138" s="1522" cm="1">
        <f t="array" aca="1" ref="M138" ca="1">INDEX( 'Eléments de constr. inté. et ex'!H:H, $F137)</f>
        <v>63.050000000000004</v>
      </c>
      <c r="N138" s="1627">
        <f>'Outil détaillé'!E$35</f>
        <v>0</v>
      </c>
      <c r="O138" s="1502" cm="1">
        <f t="array" aca="1" ref="O138" ca="1">IFERROR(INDEX('Eléments de constr. inté. et ex'!M:M, $F137)*$K138/$M138,0)/$I$1*(1-0.8*N138)</f>
        <v>2.8498599999999996</v>
      </c>
      <c r="P138" s="1416">
        <f t="shared" ca="1" si="205"/>
        <v>0</v>
      </c>
      <c r="Q138" s="1416">
        <f t="shared" ca="1" si="205"/>
        <v>0</v>
      </c>
      <c r="R138" s="256" cm="1">
        <f t="array" aca="1" ref="R138" ca="1">_xlfn.SWITCH(L138,R$3,O138+S138,P$3,P138,0)</f>
        <v>0</v>
      </c>
      <c r="S138" s="1410" cm="1">
        <f t="array" aca="1" ref="S138" ca="1">IFERROR(INDEX('Eléments de constr. inté. et ex'!N:N, $F137)*$K138/$M138,0)/$I$1*(1-0.8*N138)</f>
        <v>1.2294750000000001</v>
      </c>
      <c r="T138" s="1411">
        <f t="shared" ca="1" si="206"/>
        <v>4.0793349999999995</v>
      </c>
      <c r="U138" s="1530" cm="1">
        <f t="array" aca="1" ref="U138" ca="1">IFERROR(INDEX('Eléments de constr. inté. et ex'!O:O, $F137)*$K138/$M138,0)/$I$1*(1-0.8*N138)</f>
        <v>47.739358333333328</v>
      </c>
      <c r="V138" s="1502" cm="1">
        <f t="array" aca="1" ref="V138" ca="1">IFERROR(INDEX('Eléments de constr. inté. et ex'!K:K, $F137)*$K138/$M138,0)/$I$1*(1-0.8*N138)</f>
        <v>13.272024999999999</v>
      </c>
      <c r="W138" s="1416">
        <f t="shared" ca="1" si="207"/>
        <v>0</v>
      </c>
      <c r="X138" s="1416">
        <f t="shared" ca="1" si="207"/>
        <v>0</v>
      </c>
      <c r="Y138" s="256" cm="1">
        <f t="array" aca="1" ref="Y138" ca="1">_xlfn.SWITCH(T138,Y$3,V138+Z138,W$3,W138,0)</f>
        <v>0</v>
      </c>
      <c r="Z138" s="1410" cm="1">
        <f t="array" aca="1" ref="Z138" ca="1">IFERROR(INDEX('Eléments de constr. inté. et ex'!L:L, $F137)*$K138/$M138,0)/$I$1*(1-0.8*N138)</f>
        <v>2.7994200000000005</v>
      </c>
      <c r="AA138" s="1460">
        <f t="shared" ca="1" si="208"/>
        <v>16.071445000000001</v>
      </c>
      <c r="AB138" s="1460"/>
    </row>
    <row r="139" spans="2:28" ht="15.75" outlineLevel="1">
      <c r="B139" s="1871"/>
      <c r="C139" s="1874"/>
      <c r="D139" s="163"/>
      <c r="E139" s="163"/>
      <c r="F139" s="163">
        <f t="shared" ca="1" si="209"/>
        <v>2</v>
      </c>
      <c r="G139" s="163" cm="1">
        <f t="array" aca="1" ref="G139" ca="1">INDEX( 'Eléments de constr. inté. et ex'!C:C, $F138)</f>
        <v>0</v>
      </c>
      <c r="H139" s="163" cm="1">
        <f t="array" aca="1" ref="H139" ca="1">INDEX( 'Eléments de constr. inté. et ex'!D:D, $F138)</f>
        <v>0</v>
      </c>
      <c r="I139" s="163" cm="1">
        <f t="array" aca="1" ref="I139" ca="1">INDEX( 'Eléments de constr. inté. et ex'!G:G, $F138)</f>
        <v>0</v>
      </c>
      <c r="J139" s="163">
        <f ca="1">_xlfn.XLOOKUP($I139,'Baumaterialien Matériaux'!A:A,'Baumaterialien Matériaux'!G:G,0,0)</f>
        <v>0</v>
      </c>
      <c r="K139" s="262">
        <f t="shared" ca="1" si="210"/>
        <v>0</v>
      </c>
      <c r="L139" s="163" cm="1">
        <f t="array" aca="1" ref="L139" ca="1">INDEX( 'Eléments de constr. inté. et ex'!J:J, $F138)</f>
        <v>0</v>
      </c>
      <c r="M139" s="1522" cm="1">
        <f t="array" aca="1" ref="M139" ca="1">INDEX( 'Eléments de constr. inté. et ex'!H:H, $F138)</f>
        <v>0</v>
      </c>
      <c r="N139" s="1627">
        <f>'Outil détaillé'!E$35</f>
        <v>0</v>
      </c>
      <c r="O139" s="1502" cm="1">
        <f t="array" aca="1" ref="O139" ca="1">IFERROR(INDEX('Eléments de constr. inté. et ex'!M:M, $F138)*$K139/$M139,0)/$I$1*(1-0.8*N139)</f>
        <v>0</v>
      </c>
      <c r="P139" s="1416">
        <f t="shared" ca="1" si="205"/>
        <v>0</v>
      </c>
      <c r="Q139" s="1416">
        <f t="shared" ca="1" si="205"/>
        <v>0</v>
      </c>
      <c r="R139" s="256" cm="1">
        <f t="array" aca="1" ref="R139" ca="1">_xlfn.SWITCH(L139,R$3,O139+S139,P$3,P139,0)</f>
        <v>0</v>
      </c>
      <c r="S139" s="1410" cm="1">
        <f t="array" aca="1" ref="S139" ca="1">IFERROR(INDEX('Eléments de constr. inté. et ex'!N:N, $F138)*$K139/$M139,0)/$I$1*(1-0.8*N139)</f>
        <v>0</v>
      </c>
      <c r="T139" s="1411">
        <f t="shared" ca="1" si="206"/>
        <v>0</v>
      </c>
      <c r="U139" s="1530" cm="1">
        <f t="array" aca="1" ref="U139" ca="1">IFERROR(INDEX('Eléments de constr. inté. et ex'!O:O, $F138)*$K139/$M139,0)/$I$1*(1-0.8*N139)</f>
        <v>0</v>
      </c>
      <c r="V139" s="1502" cm="1">
        <f t="array" aca="1" ref="V139" ca="1">IFERROR(INDEX('Eléments de constr. inté. et ex'!K:K, $F138)*$K139/$M139,0)/$I$1*(1-0.8*N139)</f>
        <v>0</v>
      </c>
      <c r="W139" s="1416">
        <f t="shared" ca="1" si="207"/>
        <v>0</v>
      </c>
      <c r="X139" s="1416">
        <f t="shared" ca="1" si="207"/>
        <v>0</v>
      </c>
      <c r="Y139" s="256" cm="1">
        <f t="array" aca="1" ref="Y139" ca="1">_xlfn.SWITCH(T139,Y$3,V139+Z139,W$3,W139,0)</f>
        <v>0</v>
      </c>
      <c r="Z139" s="1410" cm="1">
        <f t="array" aca="1" ref="Z139" ca="1">IFERROR(INDEX('Eléments de constr. inté. et ex'!L:L, $F138)*$K139/$M139,0)/$I$1*(1-0.8*N139)</f>
        <v>0</v>
      </c>
      <c r="AA139" s="1460">
        <f t="shared" ca="1" si="208"/>
        <v>0</v>
      </c>
      <c r="AB139" s="1460"/>
    </row>
    <row r="140" spans="2:28" ht="15.75" outlineLevel="1">
      <c r="B140" s="1871"/>
      <c r="C140" s="1874"/>
      <c r="D140" s="163"/>
      <c r="E140" s="163"/>
      <c r="F140" s="163">
        <f t="shared" ca="1" si="209"/>
        <v>2</v>
      </c>
      <c r="G140" s="163" cm="1">
        <f t="array" aca="1" ref="G140" ca="1">INDEX( 'Eléments de constr. inté. et ex'!C:C, $F139)</f>
        <v>0</v>
      </c>
      <c r="H140" s="163" cm="1">
        <f t="array" aca="1" ref="H140" ca="1">INDEX( 'Eléments de constr. inté. et ex'!D:D, $F139)</f>
        <v>0</v>
      </c>
      <c r="I140" s="163" cm="1">
        <f t="array" aca="1" ref="I140" ca="1">INDEX( 'Eléments de constr. inté. et ex'!G:G, $F139)</f>
        <v>0</v>
      </c>
      <c r="J140" s="163">
        <f ca="1">_xlfn.XLOOKUP($I140,'Baumaterialien Matériaux'!A:A,'Baumaterialien Matériaux'!G:G,0,0)</f>
        <v>0</v>
      </c>
      <c r="K140" s="262">
        <f t="shared" ca="1" si="210"/>
        <v>0</v>
      </c>
      <c r="L140" s="163" cm="1">
        <f t="array" aca="1" ref="L140" ca="1">INDEX( 'Eléments de constr. inté. et ex'!J:J, $F139)</f>
        <v>0</v>
      </c>
      <c r="M140" s="1522" cm="1">
        <f t="array" aca="1" ref="M140" ca="1">INDEX( 'Eléments de constr. inté. et ex'!H:H, $F139)</f>
        <v>0</v>
      </c>
      <c r="N140" s="1627">
        <f>'Outil détaillé'!E$35</f>
        <v>0</v>
      </c>
      <c r="O140" s="1502" cm="1">
        <f t="array" aca="1" ref="O140" ca="1">IFERROR(INDEX('Eléments de constr. inté. et ex'!M:M, $F139)*$K140/$M140,0)/$I$1*(1-0.8*N140)</f>
        <v>0</v>
      </c>
      <c r="P140" s="1416">
        <f t="shared" ca="1" si="205"/>
        <v>0</v>
      </c>
      <c r="Q140" s="1416">
        <f t="shared" ca="1" si="205"/>
        <v>0</v>
      </c>
      <c r="R140" s="256" cm="1">
        <f t="array" aca="1" ref="R140" ca="1">_xlfn.SWITCH(L140,R$3,O140+S140,P$3,P140,0)</f>
        <v>0</v>
      </c>
      <c r="S140" s="1410" cm="1">
        <f t="array" aca="1" ref="S140" ca="1">IFERROR(INDEX('Eléments de constr. inté. et ex'!N:N, $F139)*$K140/$M140,0)/$I$1*(1-0.8*N140)</f>
        <v>0</v>
      </c>
      <c r="T140" s="1411">
        <f t="shared" ca="1" si="206"/>
        <v>0</v>
      </c>
      <c r="U140" s="1530" cm="1">
        <f t="array" aca="1" ref="U140" ca="1">IFERROR(INDEX('Eléments de constr. inté. et ex'!O:O, $F139)*$K140/$M140,0)/$I$1*(1-0.8*N140)</f>
        <v>0</v>
      </c>
      <c r="V140" s="1502" cm="1">
        <f t="array" aca="1" ref="V140" ca="1">IFERROR(INDEX('Eléments de constr. inté. et ex'!K:K, $F139)*$K140/$M140,0)/$I$1*(1-0.8*N140)</f>
        <v>0</v>
      </c>
      <c r="W140" s="1416">
        <f t="shared" ca="1" si="207"/>
        <v>0</v>
      </c>
      <c r="X140" s="1416">
        <f t="shared" ca="1" si="207"/>
        <v>0</v>
      </c>
      <c r="Y140" s="256" cm="1">
        <f t="array" aca="1" ref="Y140" ca="1">_xlfn.SWITCH(T140,Y$3,V140+Z140,W$3,W140,0)</f>
        <v>0</v>
      </c>
      <c r="Z140" s="1410" cm="1">
        <f t="array" aca="1" ref="Z140" ca="1">IFERROR(INDEX('Eléments de constr. inté. et ex'!L:L, $F139)*$K140/$M140,0)/$I$1*(1-0.8*N140)</f>
        <v>0</v>
      </c>
      <c r="AA140" s="1460">
        <f t="shared" ca="1" si="208"/>
        <v>0</v>
      </c>
      <c r="AB140" s="1460"/>
    </row>
    <row r="141" spans="2:28" ht="15.75" customHeight="1" outlineLevel="1">
      <c r="B141" s="1871"/>
      <c r="C141" s="1874"/>
      <c r="D141" s="163"/>
      <c r="E141" s="163"/>
      <c r="F141" s="163">
        <f t="shared" ca="1" si="209"/>
        <v>2</v>
      </c>
      <c r="G141" s="163" cm="1">
        <f t="array" aca="1" ref="G141" ca="1">INDEX( 'Eléments de constr. inté. et ex'!C:C, $F140)</f>
        <v>0</v>
      </c>
      <c r="H141" s="163" cm="1">
        <f t="array" aca="1" ref="H141" ca="1">INDEX( 'Eléments de constr. inté. et ex'!D:D, $F140)</f>
        <v>0</v>
      </c>
      <c r="I141" s="163" cm="1">
        <f t="array" aca="1" ref="I141" ca="1">INDEX( 'Eléments de constr. inté. et ex'!G:G, $F140)</f>
        <v>0</v>
      </c>
      <c r="J141" s="163">
        <f ca="1">_xlfn.XLOOKUP($I141,'Baumaterialien Matériaux'!A:A,'Baumaterialien Matériaux'!G:G,0,0)</f>
        <v>0</v>
      </c>
      <c r="K141" s="262">
        <f t="shared" ca="1" si="210"/>
        <v>0</v>
      </c>
      <c r="L141" s="163" cm="1">
        <f t="array" aca="1" ref="L141" ca="1">INDEX( 'Eléments de constr. inté. et ex'!J:J, $F140)</f>
        <v>0</v>
      </c>
      <c r="M141" s="1522" cm="1">
        <f t="array" aca="1" ref="M141" ca="1">INDEX( 'Eléments de constr. inté. et ex'!H:H, $F140)</f>
        <v>0</v>
      </c>
      <c r="N141" s="1627">
        <f>'Outil détaillé'!E$35</f>
        <v>0</v>
      </c>
      <c r="O141" s="1502" cm="1">
        <f t="array" aca="1" ref="O141" ca="1">IFERROR(INDEX('Eléments de constr. inté. et ex'!M:M, $F140)*$K141/$M141,0)/$I$1*(1-0.8*N141)</f>
        <v>0</v>
      </c>
      <c r="P141" s="1416">
        <f t="shared" ca="1" si="205"/>
        <v>0</v>
      </c>
      <c r="Q141" s="1416">
        <f t="shared" ca="1" si="205"/>
        <v>0</v>
      </c>
      <c r="R141" s="256" cm="1">
        <f t="array" aca="1" ref="R141" ca="1">_xlfn.SWITCH(L141,R$3,O141+S141,P$3,P141,0)</f>
        <v>0</v>
      </c>
      <c r="S141" s="1410" cm="1">
        <f t="array" aca="1" ref="S141" ca="1">IFERROR(INDEX('Eléments de constr. inté. et ex'!N:N, $F140)*$K141/$M141,0)/$I$1*(1-0.8*N141)</f>
        <v>0</v>
      </c>
      <c r="T141" s="1411">
        <f t="shared" ca="1" si="206"/>
        <v>0</v>
      </c>
      <c r="U141" s="1530" cm="1">
        <f t="array" aca="1" ref="U141" ca="1">IFERROR(INDEX('Eléments de constr. inté. et ex'!O:O, $F140)*$K141/$M141,0)/$I$1*(1-0.8*N141)</f>
        <v>0</v>
      </c>
      <c r="V141" s="1502" cm="1">
        <f t="array" aca="1" ref="V141" ca="1">IFERROR(INDEX('Eléments de constr. inté. et ex'!K:K, $F140)*$K141/$M141,0)/$I$1*(1-0.8*N141)</f>
        <v>0</v>
      </c>
      <c r="W141" s="1416">
        <f t="shared" ca="1" si="207"/>
        <v>0</v>
      </c>
      <c r="X141" s="1416">
        <f t="shared" ca="1" si="207"/>
        <v>0</v>
      </c>
      <c r="Y141" s="256" cm="1">
        <f t="array" aca="1" ref="Y141" ca="1">_xlfn.SWITCH(T141,Y$3,V141+Z141,W$3,W141,0)</f>
        <v>0</v>
      </c>
      <c r="Z141" s="1410" cm="1">
        <f t="array" aca="1" ref="Z141" ca="1">IFERROR(INDEX('Eléments de constr. inté. et ex'!L:L, $F140)*$K141/$M141,0)/$I$1*(1-0.8*N141)</f>
        <v>0</v>
      </c>
      <c r="AA141" s="1460">
        <f t="shared" ca="1" si="208"/>
        <v>0</v>
      </c>
      <c r="AB141" s="1460"/>
    </row>
    <row r="142" spans="2:28" ht="15.75" outlineLevel="1">
      <c r="B142" s="1871"/>
      <c r="C142" s="1874"/>
      <c r="D142" s="163"/>
      <c r="E142" s="163"/>
      <c r="F142" s="163">
        <f t="shared" ca="1" si="209"/>
        <v>2</v>
      </c>
      <c r="G142" s="163" cm="1">
        <f t="array" aca="1" ref="G142" ca="1">INDEX( 'Eléments de constr. inté. et ex'!C:C, $F141)</f>
        <v>0</v>
      </c>
      <c r="H142" s="163" cm="1">
        <f t="array" aca="1" ref="H142" ca="1">INDEX( 'Eléments de constr. inté. et ex'!D:D, $F141)</f>
        <v>0</v>
      </c>
      <c r="I142" s="163" cm="1">
        <f t="array" aca="1" ref="I142" ca="1">INDEX( 'Eléments de constr. inté. et ex'!G:G, $F141)</f>
        <v>0</v>
      </c>
      <c r="J142" s="163">
        <f ca="1">_xlfn.XLOOKUP($I142,'Baumaterialien Matériaux'!A:A,'Baumaterialien Matériaux'!G:G,0,0)</f>
        <v>0</v>
      </c>
      <c r="K142" s="262">
        <f t="shared" ca="1" si="210"/>
        <v>0</v>
      </c>
      <c r="L142" s="163" cm="1">
        <f t="array" aca="1" ref="L142" ca="1">INDEX( 'Eléments de constr. inté. et ex'!J:J, $F141)</f>
        <v>0</v>
      </c>
      <c r="M142" s="1522" cm="1">
        <f t="array" aca="1" ref="M142" ca="1">INDEX( 'Eléments de constr. inté. et ex'!H:H, $F141)</f>
        <v>0</v>
      </c>
      <c r="N142" s="1627">
        <f>'Outil détaillé'!E$35</f>
        <v>0</v>
      </c>
      <c r="O142" s="1502" cm="1">
        <f t="array" aca="1" ref="O142" ca="1">IFERROR(INDEX('Eléments de constr. inté. et ex'!M:M, $F141)*$K142/$M142,0)/$I$1*(1-0.8*N142)</f>
        <v>0</v>
      </c>
      <c r="P142" s="1416">
        <f t="shared" ca="1" si="205"/>
        <v>0</v>
      </c>
      <c r="Q142" s="1416">
        <f t="shared" ca="1" si="205"/>
        <v>0</v>
      </c>
      <c r="R142" s="256" cm="1">
        <f t="array" aca="1" ref="R142" ca="1">_xlfn.SWITCH(L142,R$3,O142+S142,P$3,P142,0)</f>
        <v>0</v>
      </c>
      <c r="S142" s="1410" cm="1">
        <f t="array" aca="1" ref="S142" ca="1">IFERROR(INDEX('Eléments de constr. inté. et ex'!N:N, $F141)*$K142/$M142,0)/$I$1*(1-0.8*N142)</f>
        <v>0</v>
      </c>
      <c r="T142" s="1411">
        <f t="shared" ca="1" si="206"/>
        <v>0</v>
      </c>
      <c r="U142" s="1530" cm="1">
        <f t="array" aca="1" ref="U142" ca="1">IFERROR(INDEX('Eléments de constr. inté. et ex'!O:O, $F141)*$K142/$M142,0)/$I$1*(1-0.8*N142)</f>
        <v>0</v>
      </c>
      <c r="V142" s="1502" cm="1">
        <f t="array" aca="1" ref="V142" ca="1">IFERROR(INDEX('Eléments de constr. inté. et ex'!K:K, $F141)*$K142/$M142,0)/$I$1*(1-0.8*N142)</f>
        <v>0</v>
      </c>
      <c r="W142" s="1416">
        <f t="shared" ca="1" si="207"/>
        <v>0</v>
      </c>
      <c r="X142" s="1416">
        <f t="shared" ca="1" si="207"/>
        <v>0</v>
      </c>
      <c r="Y142" s="256" cm="1">
        <f t="array" aca="1" ref="Y142" ca="1">_xlfn.SWITCH(T142,Y$3,V142+Z142,W$3,W142,0)</f>
        <v>0</v>
      </c>
      <c r="Z142" s="1410" cm="1">
        <f t="array" aca="1" ref="Z142" ca="1">IFERROR(INDEX('Eléments de constr. inté. et ex'!L:L, $F141)*$K142/$M142,0)/$I$1*(1-0.8*N142)</f>
        <v>0</v>
      </c>
      <c r="AA142" s="1460">
        <f t="shared" ca="1" si="208"/>
        <v>0</v>
      </c>
      <c r="AB142" s="1460"/>
    </row>
    <row r="143" spans="2:28" ht="15.75" outlineLevel="1">
      <c r="B143" s="1871"/>
      <c r="C143" s="1874"/>
      <c r="D143" s="163"/>
      <c r="E143" s="163"/>
      <c r="F143" s="163">
        <f t="shared" ca="1" si="209"/>
        <v>2</v>
      </c>
      <c r="G143" s="163" cm="1">
        <f t="array" aca="1" ref="G143" ca="1">INDEX( 'Eléments de constr. inté. et ex'!C:C, $F142)</f>
        <v>0</v>
      </c>
      <c r="H143" s="163" cm="1">
        <f t="array" aca="1" ref="H143" ca="1">INDEX( 'Eléments de constr. inté. et ex'!D:D, $F142)</f>
        <v>0</v>
      </c>
      <c r="I143" s="163" cm="1">
        <f t="array" aca="1" ref="I143" ca="1">INDEX( 'Eléments de constr. inté. et ex'!G:G, $F142)</f>
        <v>0</v>
      </c>
      <c r="J143" s="163">
        <f ca="1">_xlfn.XLOOKUP($I143,'Baumaterialien Matériaux'!A:A,'Baumaterialien Matériaux'!G:G,0,0)</f>
        <v>0</v>
      </c>
      <c r="K143" s="262">
        <f t="shared" ca="1" si="210"/>
        <v>0</v>
      </c>
      <c r="L143" s="163" cm="1">
        <f t="array" aca="1" ref="L143" ca="1">INDEX( 'Eléments de constr. inté. et ex'!J:J, $F142)</f>
        <v>0</v>
      </c>
      <c r="M143" s="1522" cm="1">
        <f t="array" aca="1" ref="M143" ca="1">INDEX( 'Eléments de constr. inté. et ex'!H:H, $F142)</f>
        <v>0</v>
      </c>
      <c r="N143" s="1627">
        <f>'Outil détaillé'!E$35</f>
        <v>0</v>
      </c>
      <c r="O143" s="1502" cm="1">
        <f t="array" aca="1" ref="O143" ca="1">IFERROR(INDEX('Eléments de constr. inté. et ex'!M:M, $F142)*$K143/$M143,0)/$I$1*(1-0.8*N143)</f>
        <v>0</v>
      </c>
      <c r="P143" s="1416">
        <f t="shared" ca="1" si="205"/>
        <v>0</v>
      </c>
      <c r="Q143" s="1416">
        <f t="shared" ca="1" si="205"/>
        <v>0</v>
      </c>
      <c r="R143" s="256" cm="1">
        <f t="array" aca="1" ref="R143" ca="1">_xlfn.SWITCH(L143,R$3,O143+S143,P$3,P143,0)</f>
        <v>0</v>
      </c>
      <c r="S143" s="1410" cm="1">
        <f t="array" aca="1" ref="S143" ca="1">IFERROR(INDEX('Eléments de constr. inté. et ex'!N:N, $F142)*$K143/$M143,0)/$I$1*(1-0.8*N143)</f>
        <v>0</v>
      </c>
      <c r="T143" s="1411">
        <f t="shared" ca="1" si="206"/>
        <v>0</v>
      </c>
      <c r="U143" s="1530" cm="1">
        <f t="array" aca="1" ref="U143" ca="1">IFERROR(INDEX('Eléments de constr. inté. et ex'!O:O, $F142)*$K143/$M143,0)/$I$1*(1-0.8*N143)</f>
        <v>0</v>
      </c>
      <c r="V143" s="1502" cm="1">
        <f t="array" aca="1" ref="V143" ca="1">IFERROR(INDEX('Eléments de constr. inté. et ex'!K:K, $F142)*$K143/$M143,0)/$I$1*(1-0.8*N143)</f>
        <v>0</v>
      </c>
      <c r="W143" s="1416">
        <f t="shared" ca="1" si="207"/>
        <v>0</v>
      </c>
      <c r="X143" s="1416">
        <f t="shared" ca="1" si="207"/>
        <v>0</v>
      </c>
      <c r="Y143" s="256" cm="1">
        <f t="array" aca="1" ref="Y143" ca="1">_xlfn.SWITCH(T143,Y$3,V143+Z143,W$3,W143,0)</f>
        <v>0</v>
      </c>
      <c r="Z143" s="1410" cm="1">
        <f t="array" aca="1" ref="Z143" ca="1">IFERROR(INDEX('Eléments de constr. inté. et ex'!L:L, $F142)*$K143/$M143,0)/$I$1*(1-0.8*N143)</f>
        <v>0</v>
      </c>
      <c r="AA143" s="1460">
        <f t="shared" ca="1" si="208"/>
        <v>0</v>
      </c>
      <c r="AB143" s="1460"/>
    </row>
    <row r="144" spans="2:28" ht="15.75">
      <c r="B144" s="1871"/>
      <c r="C144" s="1874"/>
      <c r="D144" s="163" t="s">
        <v>111</v>
      </c>
      <c r="E144" s="164" t="str">
        <f>'Outil détaillé'!F36</f>
        <v>Système mixte bois-béton</v>
      </c>
      <c r="F144" s="801">
        <f ca="1">MATCH(E144, INDIRECT("'Eléments de constr. inté. et ex'!A"&amp;F134+1&amp;":A500"),0)+F134</f>
        <v>55</v>
      </c>
      <c r="G144" s="164"/>
      <c r="H144" s="164"/>
      <c r="I144" s="164"/>
      <c r="J144" s="164" t="s">
        <v>87</v>
      </c>
      <c r="K144" s="270">
        <f>'Outil détaillé'!K36</f>
        <v>80</v>
      </c>
      <c r="L144" s="271"/>
      <c r="M144" s="1467"/>
      <c r="N144" s="1623"/>
      <c r="O144" s="1488">
        <f t="shared" ref="O144" ca="1" si="211">SUM(O145:O152)</f>
        <v>13.038775477707006</v>
      </c>
      <c r="P144" s="1489">
        <f t="shared" ref="P144:U144" ca="1" si="212">SUM(P145:P152)</f>
        <v>0</v>
      </c>
      <c r="Q144" s="1489">
        <f t="shared" ca="1" si="212"/>
        <v>0</v>
      </c>
      <c r="R144" s="1489">
        <f t="shared" ca="1" si="212"/>
        <v>0</v>
      </c>
      <c r="S144" s="1489">
        <f t="shared" ca="1" si="212"/>
        <v>2.545061178343949</v>
      </c>
      <c r="T144" s="1489">
        <f t="shared" ca="1" si="212"/>
        <v>15.583836656050956</v>
      </c>
      <c r="U144" s="1490">
        <f t="shared" ca="1" si="212"/>
        <v>47.739358333333328</v>
      </c>
      <c r="V144" s="1488">
        <f t="shared" ref="V144" ca="1" si="213">SUM(V145:V152)</f>
        <v>30.53037340764331</v>
      </c>
      <c r="W144" s="1489">
        <f t="shared" ref="W144:Z144" ca="1" si="214">SUM(W145:W152)</f>
        <v>0</v>
      </c>
      <c r="X144" s="1489">
        <f t="shared" ca="1" si="214"/>
        <v>0</v>
      </c>
      <c r="Y144" s="1489">
        <f t="shared" ca="1" si="214"/>
        <v>0</v>
      </c>
      <c r="Z144" s="1489">
        <f t="shared" ca="1" si="214"/>
        <v>8.156853726114651</v>
      </c>
      <c r="AA144" s="1490">
        <f t="shared" ref="AA144" ca="1" si="215">SUM(AA145:AA152)</f>
        <v>38.687227133757958</v>
      </c>
      <c r="AB144" s="1490"/>
    </row>
    <row r="145" spans="2:28" ht="15.75" outlineLevel="1">
      <c r="B145" s="1871"/>
      <c r="C145" s="1874"/>
      <c r="D145" s="163"/>
      <c r="E145" s="163"/>
      <c r="F145" s="163">
        <f ca="1">IF(I145=0,2,F144+1)</f>
        <v>56</v>
      </c>
      <c r="G145" s="163" t="str" cm="1">
        <f t="array" aca="1" ref="G145" ca="1">INDEX( 'Eléments de constr. inté. et ex'!C:C, $F144)</f>
        <v>Hochbaubeton 9cm [kg]</v>
      </c>
      <c r="H145" s="163" t="str" cm="1">
        <f t="array" aca="1" ref="H145" ca="1">INDEX( 'Eléments de constr. inté. et ex'!D:D, $F144)</f>
        <v>Béton pour bâtiment (sans armature)</v>
      </c>
      <c r="I145" s="163" t="str" cm="1">
        <f t="array" aca="1" ref="I145" ca="1">INDEX( 'Eléments de constr. inté. et ex'!G:G, $F144)</f>
        <v>01.002</v>
      </c>
      <c r="J145" s="163" t="str">
        <f ca="1">_xlfn.XLOOKUP($I145,'Baumaterialien Matériaux'!A:A,'Baumaterialien Matériaux'!G:G,0,0)</f>
        <v>kg</v>
      </c>
      <c r="K145" s="262">
        <f ca="1">M145*$K$144</f>
        <v>16496.713375796178</v>
      </c>
      <c r="L145" s="163" cm="1">
        <f t="array" aca="1" ref="L145" ca="1">INDEX( 'Eléments de constr. inté. et ex'!J:J, $F144)</f>
        <v>60</v>
      </c>
      <c r="M145" s="1522" cm="1">
        <f t="array" aca="1" ref="M145" ca="1">INDEX( 'Eléments de constr. inté. et ex'!H:H, $F144)</f>
        <v>206.20891719745222</v>
      </c>
      <c r="N145" s="1627">
        <f>'Outil détaillé'!E$36</f>
        <v>0</v>
      </c>
      <c r="O145" s="1502" cm="1">
        <f t="array" aca="1" ref="O145" ca="1">IFERROR(INDEX('Eléments de constr. inté. et ex'!M:M, $F144)*$K145/$M145,0)/$I$1*(1-0.8*N145)</f>
        <v>9.1453654777070064</v>
      </c>
      <c r="P145" s="1416">
        <f t="shared" ref="P145:Q152" ca="1" si="216">IF($L145=P$3,$O145+$S145,0)</f>
        <v>0</v>
      </c>
      <c r="Q145" s="1416">
        <f t="shared" ca="1" si="216"/>
        <v>0</v>
      </c>
      <c r="R145" s="256" cm="1">
        <f t="array" aca="1" ref="R145" ca="1">_xlfn.SWITCH(L145,R$3,O145+S145,P$3,P145,0)</f>
        <v>0</v>
      </c>
      <c r="S145" s="1410" cm="1">
        <f t="array" aca="1" ref="S145" ca="1">IFERROR(INDEX('Eléments de constr. inté. et ex'!N:N, $F144)*$K145/$M145,0)/$I$1*(1-0.8*N145)</f>
        <v>1.2991161783439491</v>
      </c>
      <c r="T145" s="1411">
        <f t="shared" ref="T145:T152" ca="1" si="217">SUM(O145:S145)</f>
        <v>10.444481656050955</v>
      </c>
      <c r="U145" s="1530" cm="1">
        <f t="array" aca="1" ref="U145" ca="1">IFERROR(INDEX('Eléments de constr. inté. et ex'!O:O, $F144)*$K145/$M145,0)/$I$1*(1-0.8*N145)</f>
        <v>0</v>
      </c>
      <c r="V145" s="1502" cm="1">
        <f t="array" aca="1" ref="V145" ca="1">IFERROR(INDEX('Eléments de constr. inté. et ex'!K:K, $F144)*$K145/$M145,0)/$I$1*(1-0.8*N145)</f>
        <v>12.681848407643312</v>
      </c>
      <c r="W145" s="1416">
        <f t="shared" ref="W145:X152" ca="1" si="218">IF($L145=W$3,$V145+$Z145,0)</f>
        <v>0</v>
      </c>
      <c r="X145" s="1416">
        <f t="shared" ca="1" si="218"/>
        <v>0</v>
      </c>
      <c r="Y145" s="256" cm="1">
        <f t="array" aca="1" ref="Y145" ca="1">_xlfn.SWITCH(T145,Y$3,V145+Z145,W$3,W145,0)</f>
        <v>0</v>
      </c>
      <c r="Z145" s="1410" cm="1">
        <f t="array" aca="1" ref="Z145" ca="1">IFERROR(INDEX('Eléments de constr. inté. et ex'!L:L, $F144)*$K145/$M145,0)/$I$1*(1-0.8*N145)</f>
        <v>5.2892587261146495</v>
      </c>
      <c r="AA145" s="1460">
        <f t="shared" ref="AA145:AA152" ca="1" si="219">SUM(V145:Z145)</f>
        <v>17.971107133757961</v>
      </c>
      <c r="AB145" s="1460"/>
    </row>
    <row r="146" spans="2:28" ht="15.75" outlineLevel="1">
      <c r="B146" s="1871"/>
      <c r="C146" s="1874"/>
      <c r="D146" s="163"/>
      <c r="E146" s="163"/>
      <c r="F146" s="163">
        <f t="shared" ref="F146:F152" ca="1" si="220">IF(I146=0,2,F145+1)</f>
        <v>57</v>
      </c>
      <c r="G146" s="163" t="str" cm="1">
        <f t="array" aca="1" ref="G146" ca="1">INDEX( 'Eléments de constr. inté. et ex'!C:C, $F145)</f>
        <v>Armierungsstahl [kg]</v>
      </c>
      <c r="H146" s="163" t="str" cm="1">
        <f t="array" aca="1" ref="H146" ca="1">INDEX( 'Eléments de constr. inté. et ex'!D:D, $F145)</f>
        <v>Acier d'armature</v>
      </c>
      <c r="I146" s="163" t="str" cm="1">
        <f t="array" aca="1" ref="I146" ca="1">INDEX( 'Eléments de constr. inté. et ex'!G:G, $F145)</f>
        <v>06.003</v>
      </c>
      <c r="J146" s="163" t="str">
        <f ca="1">_xlfn.XLOOKUP($I146,'Baumaterialien Matériaux'!A:A,'Baumaterialien Matériaux'!G:G,0,0)</f>
        <v>kg</v>
      </c>
      <c r="K146" s="262">
        <f t="shared" ref="K146:K152" ca="1" si="221">M146*$K$144</f>
        <v>216</v>
      </c>
      <c r="L146" s="163" cm="1">
        <f t="array" aca="1" ref="L146" ca="1">INDEX( 'Eléments de constr. inté. et ex'!J:J, $F145)</f>
        <v>60</v>
      </c>
      <c r="M146" s="1522" cm="1">
        <f t="array" aca="1" ref="M146" ca="1">INDEX( 'Eléments de constr. inté. et ex'!H:H, $F145)</f>
        <v>2.7</v>
      </c>
      <c r="N146" s="1627">
        <f>'Outil détaillé'!E$36</f>
        <v>0</v>
      </c>
      <c r="O146" s="1502" cm="1">
        <f t="array" aca="1" ref="O146" ca="1">IFERROR(INDEX('Eléments de constr. inté. et ex'!M:M, $F145)*$K146/$M146,0)/$I$1*(1-0.8*N146)</f>
        <v>1.0435500000000002</v>
      </c>
      <c r="P146" s="1416">
        <f t="shared" ca="1" si="216"/>
        <v>0</v>
      </c>
      <c r="Q146" s="1416">
        <f t="shared" ca="1" si="216"/>
        <v>0</v>
      </c>
      <c r="R146" s="256" cm="1">
        <f t="array" aca="1" ref="R146" ca="1">_xlfn.SWITCH(L146,R$3,O146+S146,P$3,P146,0)</f>
        <v>0</v>
      </c>
      <c r="S146" s="1410" cm="1">
        <f t="array" aca="1" ref="S146" ca="1">IFERROR(INDEX('Eléments de constr. inté. et ex'!N:N, $F145)*$K146/$M146,0)/$I$1*(1-0.8*N146)</f>
        <v>1.6470000000000002E-2</v>
      </c>
      <c r="T146" s="1411">
        <f t="shared" ca="1" si="217"/>
        <v>1.0600200000000002</v>
      </c>
      <c r="U146" s="1530" cm="1">
        <f t="array" aca="1" ref="U146" ca="1">IFERROR(INDEX('Eléments de constr. inté. et ex'!O:O, $F145)*$K146/$M146,0)/$I$1*(1-0.8*N146)</f>
        <v>0</v>
      </c>
      <c r="V146" s="1502" cm="1">
        <f t="array" aca="1" ref="V146" ca="1">IFERROR(INDEX('Eléments de constr. inté. et ex'!K:K, $F145)*$K146/$M146,0)/$I$1*(1-0.8*N146)</f>
        <v>4.5765000000000002</v>
      </c>
      <c r="W146" s="1416">
        <f t="shared" ca="1" si="218"/>
        <v>0</v>
      </c>
      <c r="X146" s="1416">
        <f t="shared" ca="1" si="218"/>
        <v>0</v>
      </c>
      <c r="Y146" s="256" cm="1">
        <f t="array" aca="1" ref="Y146" ca="1">_xlfn.SWITCH(T146,Y$3,V146+Z146,W$3,W146,0)</f>
        <v>0</v>
      </c>
      <c r="Z146" s="1410" cm="1">
        <f t="array" aca="1" ref="Z146" ca="1">IFERROR(INDEX('Eléments de constr. inté. et ex'!L:L, $F145)*$K146/$M146,0)/$I$1*(1-0.8*N146)</f>
        <v>6.8175000000000013E-2</v>
      </c>
      <c r="AA146" s="1460">
        <f t="shared" ca="1" si="219"/>
        <v>4.6446750000000003</v>
      </c>
      <c r="AB146" s="1460"/>
    </row>
    <row r="147" spans="2:28" ht="15.75" outlineLevel="1">
      <c r="B147" s="1871"/>
      <c r="C147" s="1874"/>
      <c r="D147" s="163"/>
      <c r="E147" s="163"/>
      <c r="F147" s="163">
        <f t="shared" ca="1" si="220"/>
        <v>58</v>
      </c>
      <c r="G147" s="163" t="str" cm="1">
        <f t="array" aca="1" ref="G147" ca="1">INDEX( 'Eléments de constr. inté. et ex'!C:C, $F146)</f>
        <v>Nadelschnittholz [kg]</v>
      </c>
      <c r="H147" s="163" t="str" cm="1">
        <f t="array" aca="1" ref="H147" ca="1">INDEX( 'Eléments de constr. inté. et ex'!D:D, $F146)</f>
        <v>Bois massif épicéa / sapin / mélèze, séché à l'air, brut</v>
      </c>
      <c r="I147" s="163" t="str" cm="1">
        <f t="array" aca="1" ref="I147" ca="1">INDEX( 'Eléments de constr. inté. et ex'!G:G, $F146)</f>
        <v>07.009</v>
      </c>
      <c r="J147" s="163" t="str">
        <f ca="1">_xlfn.XLOOKUP($I147,'Baumaterialien Matériaux'!A:A,'Baumaterialien Matériaux'!G:G,0,0)</f>
        <v>kg</v>
      </c>
      <c r="K147" s="262">
        <f t="shared" ca="1" si="221"/>
        <v>5044</v>
      </c>
      <c r="L147" s="163" cm="1">
        <f t="array" aca="1" ref="L147" ca="1">INDEX( 'Eléments de constr. inté. et ex'!J:J, $F146)</f>
        <v>60</v>
      </c>
      <c r="M147" s="1522" cm="1">
        <f t="array" aca="1" ref="M147" ca="1">INDEX( 'Eléments de constr. inté. et ex'!H:H, $F146)</f>
        <v>63.050000000000004</v>
      </c>
      <c r="N147" s="1627">
        <f>'Outil détaillé'!E$36</f>
        <v>0</v>
      </c>
      <c r="O147" s="1502" cm="1">
        <f t="array" aca="1" ref="O147" ca="1">IFERROR(INDEX('Eléments de constr. inté. et ex'!M:M, $F146)*$K147/$M147,0)/$I$1*(1-0.8*N147)</f>
        <v>2.8498599999999996</v>
      </c>
      <c r="P147" s="1416">
        <f t="shared" ca="1" si="216"/>
        <v>0</v>
      </c>
      <c r="Q147" s="1416">
        <f t="shared" ca="1" si="216"/>
        <v>0</v>
      </c>
      <c r="R147" s="256" cm="1">
        <f t="array" aca="1" ref="R147" ca="1">_xlfn.SWITCH(L147,R$3,O147+S147,P$3,P147,0)</f>
        <v>0</v>
      </c>
      <c r="S147" s="1410" cm="1">
        <f t="array" aca="1" ref="S147" ca="1">IFERROR(INDEX('Eléments de constr. inté. et ex'!N:N, $F146)*$K147/$M147,0)/$I$1*(1-0.8*N147)</f>
        <v>1.2294750000000001</v>
      </c>
      <c r="T147" s="1411">
        <f t="shared" ca="1" si="217"/>
        <v>4.0793349999999995</v>
      </c>
      <c r="U147" s="1530" cm="1">
        <f t="array" aca="1" ref="U147" ca="1">IFERROR(INDEX('Eléments de constr. inté. et ex'!O:O, $F146)*$K147/$M147,0)/$I$1*(1-0.8*N147)</f>
        <v>47.739358333333328</v>
      </c>
      <c r="V147" s="1502" cm="1">
        <f t="array" aca="1" ref="V147" ca="1">IFERROR(INDEX('Eléments de constr. inté. et ex'!K:K, $F146)*$K147/$M147,0)/$I$1*(1-0.8*N147)</f>
        <v>13.272024999999999</v>
      </c>
      <c r="W147" s="1416">
        <f t="shared" ca="1" si="218"/>
        <v>0</v>
      </c>
      <c r="X147" s="1416">
        <f t="shared" ca="1" si="218"/>
        <v>0</v>
      </c>
      <c r="Y147" s="256" cm="1">
        <f t="array" aca="1" ref="Y147" ca="1">_xlfn.SWITCH(T147,Y$3,V147+Z147,W$3,W147,0)</f>
        <v>0</v>
      </c>
      <c r="Z147" s="1410" cm="1">
        <f t="array" aca="1" ref="Z147" ca="1">IFERROR(INDEX('Eléments de constr. inté. et ex'!L:L, $F146)*$K147/$M147,0)/$I$1*(1-0.8*N147)</f>
        <v>2.7994200000000005</v>
      </c>
      <c r="AA147" s="1460">
        <f t="shared" ca="1" si="219"/>
        <v>16.071445000000001</v>
      </c>
      <c r="AB147" s="1460"/>
    </row>
    <row r="148" spans="2:28" ht="15.75" outlineLevel="1">
      <c r="B148" s="1871"/>
      <c r="C148" s="1874"/>
      <c r="D148" s="163"/>
      <c r="E148" s="163"/>
      <c r="F148" s="163">
        <f t="shared" ca="1" si="220"/>
        <v>2</v>
      </c>
      <c r="G148" s="163" cm="1">
        <f t="array" aca="1" ref="G148" ca="1">INDEX( 'Eléments de constr. inté. et ex'!C:C, $F147)</f>
        <v>0</v>
      </c>
      <c r="H148" s="163" cm="1">
        <f t="array" aca="1" ref="H148" ca="1">INDEX( 'Eléments de constr. inté. et ex'!D:D, $F147)</f>
        <v>0</v>
      </c>
      <c r="I148" s="163" cm="1">
        <f t="array" aca="1" ref="I148" ca="1">INDEX( 'Eléments de constr. inté. et ex'!G:G, $F147)</f>
        <v>0</v>
      </c>
      <c r="J148" s="163">
        <f ca="1">_xlfn.XLOOKUP($I148,'Baumaterialien Matériaux'!A:A,'Baumaterialien Matériaux'!G:G,0,0)</f>
        <v>0</v>
      </c>
      <c r="K148" s="262">
        <f t="shared" ca="1" si="221"/>
        <v>0</v>
      </c>
      <c r="L148" s="163" cm="1">
        <f t="array" aca="1" ref="L148" ca="1">INDEX( 'Eléments de constr. inté. et ex'!J:J, $F147)</f>
        <v>0</v>
      </c>
      <c r="M148" s="1522" cm="1">
        <f t="array" aca="1" ref="M148" ca="1">INDEX( 'Eléments de constr. inté. et ex'!H:H, $F147)</f>
        <v>0</v>
      </c>
      <c r="N148" s="1627">
        <f>'Outil détaillé'!E$36</f>
        <v>0</v>
      </c>
      <c r="O148" s="1502" cm="1">
        <f t="array" aca="1" ref="O148" ca="1">IFERROR(INDEX('Eléments de constr. inté. et ex'!M:M, $F147)*$K148/$M148,0)/$I$1*(1-0.8*N148)</f>
        <v>0</v>
      </c>
      <c r="P148" s="1416">
        <f t="shared" ca="1" si="216"/>
        <v>0</v>
      </c>
      <c r="Q148" s="1416">
        <f t="shared" ca="1" si="216"/>
        <v>0</v>
      </c>
      <c r="R148" s="256" cm="1">
        <f t="array" aca="1" ref="R148" ca="1">_xlfn.SWITCH(L148,R$3,O148+S148,P$3,P148,0)</f>
        <v>0</v>
      </c>
      <c r="S148" s="1410" cm="1">
        <f t="array" aca="1" ref="S148" ca="1">IFERROR(INDEX('Eléments de constr. inté. et ex'!N:N, $F147)*$K148/$M148,0)/$I$1*(1-0.8*N148)</f>
        <v>0</v>
      </c>
      <c r="T148" s="1411">
        <f t="shared" ca="1" si="217"/>
        <v>0</v>
      </c>
      <c r="U148" s="1530" cm="1">
        <f t="array" aca="1" ref="U148" ca="1">IFERROR(INDEX('Eléments de constr. inté. et ex'!O:O, $F147)*$K148/$M148,0)/$I$1*(1-0.8*N148)</f>
        <v>0</v>
      </c>
      <c r="V148" s="1502" cm="1">
        <f t="array" aca="1" ref="V148" ca="1">IFERROR(INDEX('Eléments de constr. inté. et ex'!K:K, $F147)*$K148/$M148,0)/$I$1*(1-0.8*N148)</f>
        <v>0</v>
      </c>
      <c r="W148" s="1416">
        <f t="shared" ca="1" si="218"/>
        <v>0</v>
      </c>
      <c r="X148" s="1416">
        <f t="shared" ca="1" si="218"/>
        <v>0</v>
      </c>
      <c r="Y148" s="256" cm="1">
        <f t="array" aca="1" ref="Y148" ca="1">_xlfn.SWITCH(T148,Y$3,V148+Z148,W$3,W148,0)</f>
        <v>0</v>
      </c>
      <c r="Z148" s="1410" cm="1">
        <f t="array" aca="1" ref="Z148" ca="1">IFERROR(INDEX('Eléments de constr. inté. et ex'!L:L, $F147)*$K148/$M148,0)/$I$1*(1-0.8*N148)</f>
        <v>0</v>
      </c>
      <c r="AA148" s="1460">
        <f t="shared" ca="1" si="219"/>
        <v>0</v>
      </c>
      <c r="AB148" s="1460"/>
    </row>
    <row r="149" spans="2:28" ht="15.75" outlineLevel="1">
      <c r="B149" s="1871"/>
      <c r="C149" s="1874"/>
      <c r="D149" s="163"/>
      <c r="E149" s="163"/>
      <c r="F149" s="163">
        <f t="shared" ca="1" si="220"/>
        <v>2</v>
      </c>
      <c r="G149" s="163" cm="1">
        <f t="array" aca="1" ref="G149" ca="1">INDEX( 'Eléments de constr. inté. et ex'!C:C, $F148)</f>
        <v>0</v>
      </c>
      <c r="H149" s="163" cm="1">
        <f t="array" aca="1" ref="H149" ca="1">INDEX( 'Eléments de constr. inté. et ex'!D:D, $F148)</f>
        <v>0</v>
      </c>
      <c r="I149" s="163" cm="1">
        <f t="array" aca="1" ref="I149" ca="1">INDEX( 'Eléments de constr. inté. et ex'!G:G, $F148)</f>
        <v>0</v>
      </c>
      <c r="J149" s="163">
        <f ca="1">_xlfn.XLOOKUP($I149,'Baumaterialien Matériaux'!A:A,'Baumaterialien Matériaux'!G:G,0,0)</f>
        <v>0</v>
      </c>
      <c r="K149" s="262">
        <f t="shared" ca="1" si="221"/>
        <v>0</v>
      </c>
      <c r="L149" s="163" cm="1">
        <f t="array" aca="1" ref="L149" ca="1">INDEX( 'Eléments de constr. inté. et ex'!J:J, $F148)</f>
        <v>0</v>
      </c>
      <c r="M149" s="1522" cm="1">
        <f t="array" aca="1" ref="M149" ca="1">INDEX( 'Eléments de constr. inté. et ex'!H:H, $F148)</f>
        <v>0</v>
      </c>
      <c r="N149" s="1627">
        <f>'Outil détaillé'!E$36</f>
        <v>0</v>
      </c>
      <c r="O149" s="1502" cm="1">
        <f t="array" aca="1" ref="O149" ca="1">IFERROR(INDEX('Eléments de constr. inté. et ex'!M:M, $F148)*$K149/$M149,0)/$I$1*(1-0.8*N149)</f>
        <v>0</v>
      </c>
      <c r="P149" s="1416">
        <f t="shared" ca="1" si="216"/>
        <v>0</v>
      </c>
      <c r="Q149" s="1416">
        <f t="shared" ca="1" si="216"/>
        <v>0</v>
      </c>
      <c r="R149" s="256" cm="1">
        <f t="array" aca="1" ref="R149" ca="1">_xlfn.SWITCH(L149,R$3,O149+S149,P$3,P149,0)</f>
        <v>0</v>
      </c>
      <c r="S149" s="1410" cm="1">
        <f t="array" aca="1" ref="S149" ca="1">IFERROR(INDEX('Eléments de constr. inté. et ex'!N:N, $F148)*$K149/$M149,0)/$I$1*(1-0.8*N149)</f>
        <v>0</v>
      </c>
      <c r="T149" s="1411">
        <f t="shared" ca="1" si="217"/>
        <v>0</v>
      </c>
      <c r="U149" s="1530" cm="1">
        <f t="array" aca="1" ref="U149" ca="1">IFERROR(INDEX('Eléments de constr. inté. et ex'!O:O, $F148)*$K149/$M149,0)/$I$1*(1-0.8*N149)</f>
        <v>0</v>
      </c>
      <c r="V149" s="1502" cm="1">
        <f t="array" aca="1" ref="V149" ca="1">IFERROR(INDEX('Eléments de constr. inté. et ex'!K:K, $F148)*$K149/$M149,0)/$I$1*(1-0.8*N149)</f>
        <v>0</v>
      </c>
      <c r="W149" s="1416">
        <f t="shared" ca="1" si="218"/>
        <v>0</v>
      </c>
      <c r="X149" s="1416">
        <f t="shared" ca="1" si="218"/>
        <v>0</v>
      </c>
      <c r="Y149" s="256" cm="1">
        <f t="array" aca="1" ref="Y149" ca="1">_xlfn.SWITCH(T149,Y$3,V149+Z149,W$3,W149,0)</f>
        <v>0</v>
      </c>
      <c r="Z149" s="1410" cm="1">
        <f t="array" aca="1" ref="Z149" ca="1">IFERROR(INDEX('Eléments de constr. inté. et ex'!L:L, $F148)*$K149/$M149,0)/$I$1*(1-0.8*N149)</f>
        <v>0</v>
      </c>
      <c r="AA149" s="1460">
        <f t="shared" ca="1" si="219"/>
        <v>0</v>
      </c>
      <c r="AB149" s="1460"/>
    </row>
    <row r="150" spans="2:28" ht="15.75" outlineLevel="1">
      <c r="B150" s="1871"/>
      <c r="C150" s="1874"/>
      <c r="D150" s="163"/>
      <c r="E150" s="163"/>
      <c r="F150" s="163">
        <f t="shared" ca="1" si="220"/>
        <v>2</v>
      </c>
      <c r="G150" s="163" cm="1">
        <f t="array" aca="1" ref="G150" ca="1">INDEX( 'Eléments de constr. inté. et ex'!C:C, $F149)</f>
        <v>0</v>
      </c>
      <c r="H150" s="163" cm="1">
        <f t="array" aca="1" ref="H150" ca="1">INDEX( 'Eléments de constr. inté. et ex'!D:D, $F149)</f>
        <v>0</v>
      </c>
      <c r="I150" s="163" cm="1">
        <f t="array" aca="1" ref="I150" ca="1">INDEX( 'Eléments de constr. inté. et ex'!G:G, $F149)</f>
        <v>0</v>
      </c>
      <c r="J150" s="163">
        <f ca="1">_xlfn.XLOOKUP($I150,'Baumaterialien Matériaux'!A:A,'Baumaterialien Matériaux'!G:G,0,0)</f>
        <v>0</v>
      </c>
      <c r="K150" s="262">
        <f t="shared" ca="1" si="221"/>
        <v>0</v>
      </c>
      <c r="L150" s="163" cm="1">
        <f t="array" aca="1" ref="L150" ca="1">INDEX( 'Eléments de constr. inté. et ex'!J:J, $F149)</f>
        <v>0</v>
      </c>
      <c r="M150" s="1522" cm="1">
        <f t="array" aca="1" ref="M150" ca="1">INDEX( 'Eléments de constr. inté. et ex'!H:H, $F149)</f>
        <v>0</v>
      </c>
      <c r="N150" s="1627">
        <f>'Outil détaillé'!E$36</f>
        <v>0</v>
      </c>
      <c r="O150" s="1502" cm="1">
        <f t="array" aca="1" ref="O150" ca="1">IFERROR(INDEX('Eléments de constr. inté. et ex'!M:M, $F149)*$K150/$M150,0)/$I$1*(1-0.8*N150)</f>
        <v>0</v>
      </c>
      <c r="P150" s="1416">
        <f t="shared" ca="1" si="216"/>
        <v>0</v>
      </c>
      <c r="Q150" s="1416">
        <f t="shared" ca="1" si="216"/>
        <v>0</v>
      </c>
      <c r="R150" s="256" cm="1">
        <f t="array" aca="1" ref="R150" ca="1">_xlfn.SWITCH(L150,R$3,O150+S150,P$3,P150,0)</f>
        <v>0</v>
      </c>
      <c r="S150" s="1410" cm="1">
        <f t="array" aca="1" ref="S150" ca="1">IFERROR(INDEX('Eléments de constr. inté. et ex'!N:N, $F149)*$K150/$M150,0)/$I$1*(1-0.8*N150)</f>
        <v>0</v>
      </c>
      <c r="T150" s="1411">
        <f t="shared" ca="1" si="217"/>
        <v>0</v>
      </c>
      <c r="U150" s="1530" cm="1">
        <f t="array" aca="1" ref="U150" ca="1">IFERROR(INDEX('Eléments de constr. inté. et ex'!O:O, $F149)*$K150/$M150,0)/$I$1*(1-0.8*N150)</f>
        <v>0</v>
      </c>
      <c r="V150" s="1502" cm="1">
        <f t="array" aca="1" ref="V150" ca="1">IFERROR(INDEX('Eléments de constr. inté. et ex'!K:K, $F149)*$K150/$M150,0)/$I$1*(1-0.8*N150)</f>
        <v>0</v>
      </c>
      <c r="W150" s="1416">
        <f t="shared" ca="1" si="218"/>
        <v>0</v>
      </c>
      <c r="X150" s="1416">
        <f t="shared" ca="1" si="218"/>
        <v>0</v>
      </c>
      <c r="Y150" s="256" cm="1">
        <f t="array" aca="1" ref="Y150" ca="1">_xlfn.SWITCH(T150,Y$3,V150+Z150,W$3,W150,0)</f>
        <v>0</v>
      </c>
      <c r="Z150" s="1410" cm="1">
        <f t="array" aca="1" ref="Z150" ca="1">IFERROR(INDEX('Eléments de constr. inté. et ex'!L:L, $F149)*$K150/$M150,0)/$I$1*(1-0.8*N150)</f>
        <v>0</v>
      </c>
      <c r="AA150" s="1460">
        <f t="shared" ca="1" si="219"/>
        <v>0</v>
      </c>
      <c r="AB150" s="1460"/>
    </row>
    <row r="151" spans="2:28" ht="15.75" outlineLevel="1">
      <c r="B151" s="1871"/>
      <c r="C151" s="1874"/>
      <c r="D151" s="163"/>
      <c r="E151" s="163"/>
      <c r="F151" s="163">
        <f t="shared" ca="1" si="220"/>
        <v>2</v>
      </c>
      <c r="G151" s="163" cm="1">
        <f t="array" aca="1" ref="G151" ca="1">INDEX( 'Eléments de constr. inté. et ex'!C:C, $F150)</f>
        <v>0</v>
      </c>
      <c r="H151" s="163" cm="1">
        <f t="array" aca="1" ref="H151" ca="1">INDEX( 'Eléments de constr. inté. et ex'!D:D, $F150)</f>
        <v>0</v>
      </c>
      <c r="I151" s="163" cm="1">
        <f t="array" aca="1" ref="I151" ca="1">INDEX( 'Eléments de constr. inté. et ex'!G:G, $F150)</f>
        <v>0</v>
      </c>
      <c r="J151" s="163">
        <f ca="1">_xlfn.XLOOKUP($I151,'Baumaterialien Matériaux'!A:A,'Baumaterialien Matériaux'!G:G,0,0)</f>
        <v>0</v>
      </c>
      <c r="K151" s="262">
        <f t="shared" ca="1" si="221"/>
        <v>0</v>
      </c>
      <c r="L151" s="163" cm="1">
        <f t="array" aca="1" ref="L151" ca="1">INDEX( 'Eléments de constr. inté. et ex'!J:J, $F150)</f>
        <v>0</v>
      </c>
      <c r="M151" s="1522" cm="1">
        <f t="array" aca="1" ref="M151" ca="1">INDEX( 'Eléments de constr. inté. et ex'!H:H, $F150)</f>
        <v>0</v>
      </c>
      <c r="N151" s="1627">
        <f>'Outil détaillé'!E$36</f>
        <v>0</v>
      </c>
      <c r="O151" s="1502" cm="1">
        <f t="array" aca="1" ref="O151" ca="1">IFERROR(INDEX('Eléments de constr. inté. et ex'!M:M, $F150)*$K151/$M151,0)/$I$1*(1-0.8*N151)</f>
        <v>0</v>
      </c>
      <c r="P151" s="1416">
        <f t="shared" ca="1" si="216"/>
        <v>0</v>
      </c>
      <c r="Q151" s="1416">
        <f t="shared" ca="1" si="216"/>
        <v>0</v>
      </c>
      <c r="R151" s="256" cm="1">
        <f t="array" aca="1" ref="R151" ca="1">_xlfn.SWITCH(L151,R$3,O151+S151,P$3,P151,0)</f>
        <v>0</v>
      </c>
      <c r="S151" s="1410" cm="1">
        <f t="array" aca="1" ref="S151" ca="1">IFERROR(INDEX('Eléments de constr. inté. et ex'!N:N, $F150)*$K151/$M151,0)/$I$1*(1-0.8*N151)</f>
        <v>0</v>
      </c>
      <c r="T151" s="1411">
        <f t="shared" ca="1" si="217"/>
        <v>0</v>
      </c>
      <c r="U151" s="1530" cm="1">
        <f t="array" aca="1" ref="U151" ca="1">IFERROR(INDEX('Eléments de constr. inté. et ex'!O:O, $F150)*$K151/$M151,0)/$I$1*(1-0.8*N151)</f>
        <v>0</v>
      </c>
      <c r="V151" s="1502" cm="1">
        <f t="array" aca="1" ref="V151" ca="1">IFERROR(INDEX('Eléments de constr. inté. et ex'!K:K, $F150)*$K151/$M151,0)/$I$1*(1-0.8*N151)</f>
        <v>0</v>
      </c>
      <c r="W151" s="1416">
        <f t="shared" ca="1" si="218"/>
        <v>0</v>
      </c>
      <c r="X151" s="1416">
        <f t="shared" ca="1" si="218"/>
        <v>0</v>
      </c>
      <c r="Y151" s="256" cm="1">
        <f t="array" aca="1" ref="Y151" ca="1">_xlfn.SWITCH(T151,Y$3,V151+Z151,W$3,W151,0)</f>
        <v>0</v>
      </c>
      <c r="Z151" s="1410" cm="1">
        <f t="array" aca="1" ref="Z151" ca="1">IFERROR(INDEX('Eléments de constr. inté. et ex'!L:L, $F150)*$K151/$M151,0)/$I$1*(1-0.8*N151)</f>
        <v>0</v>
      </c>
      <c r="AA151" s="1460">
        <f t="shared" ca="1" si="219"/>
        <v>0</v>
      </c>
      <c r="AB151" s="1460"/>
    </row>
    <row r="152" spans="2:28" ht="15.75" outlineLevel="1">
      <c r="B152" s="1871"/>
      <c r="C152" s="1874"/>
      <c r="D152" s="163"/>
      <c r="E152" s="163"/>
      <c r="F152" s="163">
        <f t="shared" ca="1" si="220"/>
        <v>2</v>
      </c>
      <c r="G152" s="163" cm="1">
        <f t="array" aca="1" ref="G152" ca="1">INDEX( 'Eléments de constr. inté. et ex'!C:C, $F151)</f>
        <v>0</v>
      </c>
      <c r="H152" s="163" cm="1">
        <f t="array" aca="1" ref="H152" ca="1">INDEX( 'Eléments de constr. inté. et ex'!D:D, $F151)</f>
        <v>0</v>
      </c>
      <c r="I152" s="163" cm="1">
        <f t="array" aca="1" ref="I152" ca="1">INDEX( 'Eléments de constr. inté. et ex'!G:G, $F151)</f>
        <v>0</v>
      </c>
      <c r="J152" s="163">
        <f ca="1">_xlfn.XLOOKUP($I152,'Baumaterialien Matériaux'!A:A,'Baumaterialien Matériaux'!G:G,0,0)</f>
        <v>0</v>
      </c>
      <c r="K152" s="262">
        <f t="shared" ca="1" si="221"/>
        <v>0</v>
      </c>
      <c r="L152" s="163" cm="1">
        <f t="array" aca="1" ref="L152" ca="1">INDEX( 'Eléments de constr. inté. et ex'!J:J, $F151)</f>
        <v>0</v>
      </c>
      <c r="M152" s="1522" cm="1">
        <f t="array" aca="1" ref="M152" ca="1">INDEX( 'Eléments de constr. inté. et ex'!H:H, $F151)</f>
        <v>0</v>
      </c>
      <c r="N152" s="1627">
        <f>'Outil détaillé'!E$36</f>
        <v>0</v>
      </c>
      <c r="O152" s="1502" cm="1">
        <f t="array" aca="1" ref="O152" ca="1">IFERROR(INDEX('Eléments de constr. inté. et ex'!M:M, $F151)*$K152/$M152,0)/$I$1*(1-0.8*N152)</f>
        <v>0</v>
      </c>
      <c r="P152" s="1416">
        <f t="shared" ca="1" si="216"/>
        <v>0</v>
      </c>
      <c r="Q152" s="1416">
        <f t="shared" ca="1" si="216"/>
        <v>0</v>
      </c>
      <c r="R152" s="256" cm="1">
        <f t="array" aca="1" ref="R152" ca="1">_xlfn.SWITCH(L152,R$3,O152+S152,P$3,P152,0)</f>
        <v>0</v>
      </c>
      <c r="S152" s="1410" cm="1">
        <f t="array" aca="1" ref="S152" ca="1">IFERROR(INDEX('Eléments de constr. inté. et ex'!N:N, $F151)*$K152/$M152,0)/$I$1*(1-0.8*N152)</f>
        <v>0</v>
      </c>
      <c r="T152" s="1411">
        <f t="shared" ca="1" si="217"/>
        <v>0</v>
      </c>
      <c r="U152" s="1530" cm="1">
        <f t="array" aca="1" ref="U152" ca="1">IFERROR(INDEX('Eléments de constr. inté. et ex'!O:O, $F151)*$K152/$M152,0)/$I$1*(1-0.8*N152)</f>
        <v>0</v>
      </c>
      <c r="V152" s="1502" cm="1">
        <f t="array" aca="1" ref="V152" ca="1">IFERROR(INDEX('Eléments de constr. inté. et ex'!K:K, $F151)*$K152/$M152,0)/$I$1*(1-0.8*N152)</f>
        <v>0</v>
      </c>
      <c r="W152" s="1416">
        <f t="shared" ca="1" si="218"/>
        <v>0</v>
      </c>
      <c r="X152" s="1416">
        <f t="shared" ca="1" si="218"/>
        <v>0</v>
      </c>
      <c r="Y152" s="256" cm="1">
        <f t="array" aca="1" ref="Y152" ca="1">_xlfn.SWITCH(T152,Y$3,V152+Z152,W$3,W152,0)</f>
        <v>0</v>
      </c>
      <c r="Z152" s="1410" cm="1">
        <f t="array" aca="1" ref="Z152" ca="1">IFERROR(INDEX('Eléments de constr. inté. et ex'!L:L, $F151)*$K152/$M152,0)/$I$1*(1-0.8*N152)</f>
        <v>0</v>
      </c>
      <c r="AA152" s="1460">
        <f t="shared" ca="1" si="219"/>
        <v>0</v>
      </c>
      <c r="AB152" s="1460"/>
    </row>
    <row r="153" spans="2:28" ht="15.75">
      <c r="B153" s="1871"/>
      <c r="C153" s="1874"/>
      <c r="D153" s="163" t="str">
        <f>'Outil détaillé'!D49</f>
        <v>Sous-sol</v>
      </c>
      <c r="E153" s="164" t="str">
        <f>'Outil détaillé'!F37</f>
        <v>Système mixte bois-béton</v>
      </c>
      <c r="F153" s="801">
        <f ca="1">MATCH(E153, INDIRECT("'Eléments de constr. inté. et ex'!A"&amp;F134+1&amp;":A500"),0)+F134</f>
        <v>55</v>
      </c>
      <c r="G153" s="164"/>
      <c r="H153" s="164"/>
      <c r="I153" s="164"/>
      <c r="J153" s="164" t="s">
        <v>87</v>
      </c>
      <c r="K153" s="270">
        <f>'Outil détaillé'!K37</f>
        <v>0</v>
      </c>
      <c r="L153" s="271"/>
      <c r="M153" s="1467"/>
      <c r="N153" s="1623"/>
      <c r="O153" s="1488">
        <f t="shared" ref="O153" ca="1" si="222">SUM(O154:O160)</f>
        <v>0</v>
      </c>
      <c r="P153" s="1489">
        <f t="shared" ref="P153:U153" ca="1" si="223">SUM(P154:P160)</f>
        <v>0</v>
      </c>
      <c r="Q153" s="1489">
        <f t="shared" ca="1" si="223"/>
        <v>0</v>
      </c>
      <c r="R153" s="1489">
        <f t="shared" ca="1" si="223"/>
        <v>0</v>
      </c>
      <c r="S153" s="1489">
        <f t="shared" ca="1" si="223"/>
        <v>0</v>
      </c>
      <c r="T153" s="1489">
        <f t="shared" ca="1" si="223"/>
        <v>0</v>
      </c>
      <c r="U153" s="1490">
        <f t="shared" ca="1" si="223"/>
        <v>0</v>
      </c>
      <c r="V153" s="1488">
        <f t="shared" ref="V153" ca="1" si="224">SUM(V154:V160)</f>
        <v>0</v>
      </c>
      <c r="W153" s="1489">
        <f t="shared" ref="W153:Z153" ca="1" si="225">SUM(W154:W160)</f>
        <v>0</v>
      </c>
      <c r="X153" s="1489">
        <f t="shared" ca="1" si="225"/>
        <v>0</v>
      </c>
      <c r="Y153" s="1489">
        <f t="shared" ca="1" si="225"/>
        <v>0</v>
      </c>
      <c r="Z153" s="1489">
        <f t="shared" ca="1" si="225"/>
        <v>0</v>
      </c>
      <c r="AA153" s="1490">
        <f t="shared" ref="AA153" ca="1" si="226">SUM(AA154:AA160)</f>
        <v>0</v>
      </c>
      <c r="AB153" s="1490"/>
    </row>
    <row r="154" spans="2:28" ht="15.75" outlineLevel="1">
      <c r="B154" s="1871"/>
      <c r="C154" s="1874"/>
      <c r="D154" s="163"/>
      <c r="E154" s="163"/>
      <c r="F154" s="163">
        <f ca="1">IF(I154=0,2,F153+1)</f>
        <v>56</v>
      </c>
      <c r="G154" s="163" t="str" cm="1">
        <f t="array" aca="1" ref="G154" ca="1">INDEX( 'Eléments de constr. inté. et ex'!C:C, $F153)</f>
        <v>Hochbaubeton 9cm [kg]</v>
      </c>
      <c r="H154" s="163" t="str" cm="1">
        <f t="array" aca="1" ref="H154" ca="1">INDEX( 'Eléments de constr. inté. et ex'!D:D, $F153)</f>
        <v>Béton pour bâtiment (sans armature)</v>
      </c>
      <c r="I154" s="163" t="str" cm="1">
        <f t="array" aca="1" ref="I154" ca="1">INDEX( 'Eléments de constr. inté. et ex'!G:G, $F153)</f>
        <v>01.002</v>
      </c>
      <c r="J154" s="163" t="str">
        <f ca="1">_xlfn.XLOOKUP($I154,'Baumaterialien Matériaux'!A:A,'Baumaterialien Matériaux'!G:G,0,0)</f>
        <v>kg</v>
      </c>
      <c r="K154" s="262">
        <f ca="1">M154*$K$153</f>
        <v>0</v>
      </c>
      <c r="L154" s="163" cm="1">
        <f t="array" aca="1" ref="L154" ca="1">INDEX( 'Eléments de constr. inté. et ex'!J:J, $F153)</f>
        <v>60</v>
      </c>
      <c r="M154" s="1522" cm="1">
        <f t="array" aca="1" ref="M154" ca="1">INDEX( 'Eléments de constr. inté. et ex'!H:H, $F153)</f>
        <v>206.20891719745222</v>
      </c>
      <c r="N154" s="1627">
        <f>'Outil détaillé'!E$37</f>
        <v>0</v>
      </c>
      <c r="O154" s="1502" cm="1">
        <f t="array" aca="1" ref="O154" ca="1">IFERROR(INDEX('Eléments de constr. inté. et ex'!M:M, $F153)*$K154/$M154,0)/$I$1*(1-0.8*N154)</f>
        <v>0</v>
      </c>
      <c r="P154" s="1416">
        <f t="shared" ref="P154:Q160" ca="1" si="227">IF($L154=P$3,$O154+$S154,0)</f>
        <v>0</v>
      </c>
      <c r="Q154" s="1416">
        <f t="shared" ca="1" si="227"/>
        <v>0</v>
      </c>
      <c r="R154" s="256" cm="1">
        <f t="array" aca="1" ref="R154" ca="1">_xlfn.SWITCH(L154,R$3,O154+S154,P$3,P154,0)</f>
        <v>0</v>
      </c>
      <c r="S154" s="1410" cm="1">
        <f t="array" aca="1" ref="S154" ca="1">IFERROR(INDEX('Eléments de constr. inté. et ex'!N:N, $F153)*$K154/$M154,0)/$I$1*(1-0.8*N154)</f>
        <v>0</v>
      </c>
      <c r="T154" s="1411">
        <f t="shared" ref="T154:T160" ca="1" si="228">SUM(O154:S154)</f>
        <v>0</v>
      </c>
      <c r="U154" s="1530" cm="1">
        <f t="array" aca="1" ref="U154" ca="1">IFERROR(INDEX('Eléments de constr. inté. et ex'!O:O, $F153)*$K154/$M154,0)/$I$1*(1-0.8*N154)</f>
        <v>0</v>
      </c>
      <c r="V154" s="1502" cm="1">
        <f t="array" aca="1" ref="V154" ca="1">IFERROR(INDEX('Eléments de constr. inté. et ex'!K:K, $F153)*$K154/$M154,0)/$I$1*(1-0.8*N154)</f>
        <v>0</v>
      </c>
      <c r="W154" s="1416">
        <f t="shared" ref="W154:X160" ca="1" si="229">IF($L154=W$3,$V154+$Z154,0)</f>
        <v>0</v>
      </c>
      <c r="X154" s="1416">
        <f t="shared" ca="1" si="229"/>
        <v>0</v>
      </c>
      <c r="Y154" s="256" cm="1">
        <f t="array" aca="1" ref="Y154" ca="1">_xlfn.SWITCH(T154,Y$3,V154+Z154,W$3,W154,0)</f>
        <v>0</v>
      </c>
      <c r="Z154" s="1410" cm="1">
        <f t="array" aca="1" ref="Z154" ca="1">IFERROR(INDEX('Eléments de constr. inté. et ex'!L:L, $F153)*$K154/$M154,0)/$I$1*(1-0.8*N154)</f>
        <v>0</v>
      </c>
      <c r="AA154" s="1460">
        <f t="shared" ref="AA154:AA160" ca="1" si="230">SUM(V154:Z154)</f>
        <v>0</v>
      </c>
      <c r="AB154" s="1460"/>
    </row>
    <row r="155" spans="2:28" ht="15.75" outlineLevel="1">
      <c r="B155" s="1871"/>
      <c r="C155" s="1874"/>
      <c r="D155" s="163"/>
      <c r="E155" s="163"/>
      <c r="F155" s="163">
        <f t="shared" ref="F155:F160" ca="1" si="231">IF(I155=0,2,F154+1)</f>
        <v>57</v>
      </c>
      <c r="G155" s="163" t="str" cm="1">
        <f t="array" aca="1" ref="G155" ca="1">INDEX( 'Eléments de constr. inté. et ex'!C:C, $F154)</f>
        <v>Armierungsstahl [kg]</v>
      </c>
      <c r="H155" s="163" t="str" cm="1">
        <f t="array" aca="1" ref="H155" ca="1">INDEX( 'Eléments de constr. inté. et ex'!D:D, $F154)</f>
        <v>Acier d'armature</v>
      </c>
      <c r="I155" s="163" t="str" cm="1">
        <f t="array" aca="1" ref="I155" ca="1">INDEX( 'Eléments de constr. inté. et ex'!G:G, $F154)</f>
        <v>06.003</v>
      </c>
      <c r="J155" s="163" t="str">
        <f ca="1">_xlfn.XLOOKUP($I155,'Baumaterialien Matériaux'!A:A,'Baumaterialien Matériaux'!G:G,0,0)</f>
        <v>kg</v>
      </c>
      <c r="K155" s="262">
        <f t="shared" ref="K155:K160" ca="1" si="232">M155*$K$153</f>
        <v>0</v>
      </c>
      <c r="L155" s="163" cm="1">
        <f t="array" aca="1" ref="L155" ca="1">INDEX( 'Eléments de constr. inté. et ex'!J:J, $F154)</f>
        <v>60</v>
      </c>
      <c r="M155" s="1522" cm="1">
        <f t="array" aca="1" ref="M155" ca="1">INDEX( 'Eléments de constr. inté. et ex'!H:H, $F154)</f>
        <v>2.7</v>
      </c>
      <c r="N155" s="1627">
        <f>'Outil détaillé'!E$37</f>
        <v>0</v>
      </c>
      <c r="O155" s="1502" cm="1">
        <f t="array" aca="1" ref="O155" ca="1">IFERROR(INDEX('Eléments de constr. inté. et ex'!M:M, $F154)*$K155/$M155,0)/$I$1*(1-0.8*N155)</f>
        <v>0</v>
      </c>
      <c r="P155" s="1416">
        <f t="shared" ca="1" si="227"/>
        <v>0</v>
      </c>
      <c r="Q155" s="1416">
        <f t="shared" ca="1" si="227"/>
        <v>0</v>
      </c>
      <c r="R155" s="256" cm="1">
        <f t="array" aca="1" ref="R155" ca="1">_xlfn.SWITCH(L155,R$3,O155+S155,P$3,P155,0)</f>
        <v>0</v>
      </c>
      <c r="S155" s="1410" cm="1">
        <f t="array" aca="1" ref="S155" ca="1">IFERROR(INDEX('Eléments de constr. inté. et ex'!N:N, $F154)*$K155/$M155,0)/$I$1*(1-0.8*N155)</f>
        <v>0</v>
      </c>
      <c r="T155" s="1411">
        <f t="shared" ca="1" si="228"/>
        <v>0</v>
      </c>
      <c r="U155" s="1530" cm="1">
        <f t="array" aca="1" ref="U155" ca="1">IFERROR(INDEX('Eléments de constr. inté. et ex'!O:O, $F154)*$K155/$M155,0)/$I$1*(1-0.8*N155)</f>
        <v>0</v>
      </c>
      <c r="V155" s="1502" cm="1">
        <f t="array" aca="1" ref="V155" ca="1">IFERROR(INDEX('Eléments de constr. inté. et ex'!K:K, $F154)*$K155/$M155,0)/$I$1*(1-0.8*N155)</f>
        <v>0</v>
      </c>
      <c r="W155" s="1416">
        <f t="shared" ca="1" si="229"/>
        <v>0</v>
      </c>
      <c r="X155" s="1416">
        <f t="shared" ca="1" si="229"/>
        <v>0</v>
      </c>
      <c r="Y155" s="256" cm="1">
        <f t="array" aca="1" ref="Y155" ca="1">_xlfn.SWITCH(T155,Y$3,V155+Z155,W$3,W155,0)</f>
        <v>0</v>
      </c>
      <c r="Z155" s="1410" cm="1">
        <f t="array" aca="1" ref="Z155" ca="1">IFERROR(INDEX('Eléments de constr. inté. et ex'!L:L, $F154)*$K155/$M155,0)/$I$1*(1-0.8*N155)</f>
        <v>0</v>
      </c>
      <c r="AA155" s="1460">
        <f t="shared" ca="1" si="230"/>
        <v>0</v>
      </c>
      <c r="AB155" s="1460"/>
    </row>
    <row r="156" spans="2:28" ht="15.75" outlineLevel="1">
      <c r="B156" s="1871"/>
      <c r="C156" s="1874"/>
      <c r="D156" s="163"/>
      <c r="E156" s="163"/>
      <c r="F156" s="163">
        <f t="shared" ca="1" si="231"/>
        <v>58</v>
      </c>
      <c r="G156" s="163" t="str" cm="1">
        <f t="array" aca="1" ref="G156" ca="1">INDEX( 'Eléments de constr. inté. et ex'!C:C, $F155)</f>
        <v>Nadelschnittholz [kg]</v>
      </c>
      <c r="H156" s="163" t="str" cm="1">
        <f t="array" aca="1" ref="H156" ca="1">INDEX( 'Eléments de constr. inté. et ex'!D:D, $F155)</f>
        <v>Bois massif épicéa / sapin / mélèze, séché à l'air, brut</v>
      </c>
      <c r="I156" s="163" t="str" cm="1">
        <f t="array" aca="1" ref="I156" ca="1">INDEX( 'Eléments de constr. inté. et ex'!G:G, $F155)</f>
        <v>07.009</v>
      </c>
      <c r="J156" s="163" t="str">
        <f ca="1">_xlfn.XLOOKUP($I156,'Baumaterialien Matériaux'!A:A,'Baumaterialien Matériaux'!G:G,0,0)</f>
        <v>kg</v>
      </c>
      <c r="K156" s="262">
        <f t="shared" ca="1" si="232"/>
        <v>0</v>
      </c>
      <c r="L156" s="163" cm="1">
        <f t="array" aca="1" ref="L156" ca="1">INDEX( 'Eléments de constr. inté. et ex'!J:J, $F155)</f>
        <v>60</v>
      </c>
      <c r="M156" s="1522" cm="1">
        <f t="array" aca="1" ref="M156" ca="1">INDEX( 'Eléments de constr. inté. et ex'!H:H, $F155)</f>
        <v>63.050000000000004</v>
      </c>
      <c r="N156" s="1627">
        <f>'Outil détaillé'!E$37</f>
        <v>0</v>
      </c>
      <c r="O156" s="1502" cm="1">
        <f t="array" aca="1" ref="O156" ca="1">IFERROR(INDEX('Eléments de constr. inté. et ex'!M:M, $F155)*$K156/$M156,0)/$I$1*(1-0.8*N156)</f>
        <v>0</v>
      </c>
      <c r="P156" s="1416">
        <f t="shared" ca="1" si="227"/>
        <v>0</v>
      </c>
      <c r="Q156" s="1416">
        <f t="shared" ca="1" si="227"/>
        <v>0</v>
      </c>
      <c r="R156" s="256" cm="1">
        <f t="array" aca="1" ref="R156" ca="1">_xlfn.SWITCH(L156,R$3,O156+S156,P$3,P156,0)</f>
        <v>0</v>
      </c>
      <c r="S156" s="1410" cm="1">
        <f t="array" aca="1" ref="S156" ca="1">IFERROR(INDEX('Eléments de constr. inté. et ex'!N:N, $F155)*$K156/$M156,0)/$I$1*(1-0.8*N156)</f>
        <v>0</v>
      </c>
      <c r="T156" s="1411">
        <f t="shared" ca="1" si="228"/>
        <v>0</v>
      </c>
      <c r="U156" s="1530" cm="1">
        <f t="array" aca="1" ref="U156" ca="1">IFERROR(INDEX('Eléments de constr. inté. et ex'!O:O, $F155)*$K156/$M156,0)/$I$1*(1-0.8*N156)</f>
        <v>0</v>
      </c>
      <c r="V156" s="1502" cm="1">
        <f t="array" aca="1" ref="V156" ca="1">IFERROR(INDEX('Eléments de constr. inté. et ex'!K:K, $F155)*$K156/$M156,0)/$I$1*(1-0.8*N156)</f>
        <v>0</v>
      </c>
      <c r="W156" s="1416">
        <f t="shared" ca="1" si="229"/>
        <v>0</v>
      </c>
      <c r="X156" s="1416">
        <f t="shared" ca="1" si="229"/>
        <v>0</v>
      </c>
      <c r="Y156" s="256" cm="1">
        <f t="array" aca="1" ref="Y156" ca="1">_xlfn.SWITCH(T156,Y$3,V156+Z156,W$3,W156,0)</f>
        <v>0</v>
      </c>
      <c r="Z156" s="1410" cm="1">
        <f t="array" aca="1" ref="Z156" ca="1">IFERROR(INDEX('Eléments de constr. inté. et ex'!L:L, $F155)*$K156/$M156,0)/$I$1*(1-0.8*N156)</f>
        <v>0</v>
      </c>
      <c r="AA156" s="1460">
        <f t="shared" ca="1" si="230"/>
        <v>0</v>
      </c>
      <c r="AB156" s="1460"/>
    </row>
    <row r="157" spans="2:28" ht="15.75" outlineLevel="1">
      <c r="B157" s="1871"/>
      <c r="C157" s="1874"/>
      <c r="D157" s="163"/>
      <c r="E157" s="163"/>
      <c r="F157" s="163">
        <f t="shared" ca="1" si="231"/>
        <v>2</v>
      </c>
      <c r="G157" s="163" cm="1">
        <f t="array" aca="1" ref="G157" ca="1">INDEX( 'Eléments de constr. inté. et ex'!C:C, $F156)</f>
        <v>0</v>
      </c>
      <c r="H157" s="163" cm="1">
        <f t="array" aca="1" ref="H157" ca="1">INDEX( 'Eléments de constr. inté. et ex'!D:D, $F156)</f>
        <v>0</v>
      </c>
      <c r="I157" s="163" cm="1">
        <f t="array" aca="1" ref="I157" ca="1">INDEX( 'Eléments de constr. inté. et ex'!G:G, $F156)</f>
        <v>0</v>
      </c>
      <c r="J157" s="163">
        <f ca="1">_xlfn.XLOOKUP($I157,'Baumaterialien Matériaux'!A:A,'Baumaterialien Matériaux'!G:G,0,0)</f>
        <v>0</v>
      </c>
      <c r="K157" s="262">
        <f t="shared" ca="1" si="232"/>
        <v>0</v>
      </c>
      <c r="L157" s="163" cm="1">
        <f t="array" aca="1" ref="L157" ca="1">INDEX( 'Eléments de constr. inté. et ex'!J:J, $F156)</f>
        <v>0</v>
      </c>
      <c r="M157" s="1522" cm="1">
        <f t="array" aca="1" ref="M157" ca="1">INDEX( 'Eléments de constr. inté. et ex'!H:H, $F156)</f>
        <v>0</v>
      </c>
      <c r="N157" s="1627">
        <f>'Outil détaillé'!E$37</f>
        <v>0</v>
      </c>
      <c r="O157" s="1502" cm="1">
        <f t="array" aca="1" ref="O157" ca="1">IFERROR(INDEX('Eléments de constr. inté. et ex'!M:M, $F156)*$K157/$M157,0)/$I$1*(1-0.8*N157)</f>
        <v>0</v>
      </c>
      <c r="P157" s="1416">
        <f t="shared" ca="1" si="227"/>
        <v>0</v>
      </c>
      <c r="Q157" s="1416">
        <f t="shared" ca="1" si="227"/>
        <v>0</v>
      </c>
      <c r="R157" s="256" cm="1">
        <f t="array" aca="1" ref="R157" ca="1">_xlfn.SWITCH(L157,R$3,O157+S157,P$3,P157,0)</f>
        <v>0</v>
      </c>
      <c r="S157" s="1410" cm="1">
        <f t="array" aca="1" ref="S157" ca="1">IFERROR(INDEX('Eléments de constr. inté. et ex'!N:N, $F156)*$K157/$M157,0)/$I$1*(1-0.8*N157)</f>
        <v>0</v>
      </c>
      <c r="T157" s="1411">
        <f t="shared" ca="1" si="228"/>
        <v>0</v>
      </c>
      <c r="U157" s="1530" cm="1">
        <f t="array" aca="1" ref="U157" ca="1">IFERROR(INDEX('Eléments de constr. inté. et ex'!O:O, $F156)*$K157/$M157,0)/$I$1*(1-0.8*N157)</f>
        <v>0</v>
      </c>
      <c r="V157" s="1502" cm="1">
        <f t="array" aca="1" ref="V157" ca="1">IFERROR(INDEX('Eléments de constr. inté. et ex'!K:K, $F156)*$K157/$M157,0)/$I$1*(1-0.8*N157)</f>
        <v>0</v>
      </c>
      <c r="W157" s="1416">
        <f t="shared" ca="1" si="229"/>
        <v>0</v>
      </c>
      <c r="X157" s="1416">
        <f t="shared" ca="1" si="229"/>
        <v>0</v>
      </c>
      <c r="Y157" s="256" cm="1">
        <f t="array" aca="1" ref="Y157" ca="1">_xlfn.SWITCH(T157,Y$3,V157+Z157,W$3,W157,0)</f>
        <v>0</v>
      </c>
      <c r="Z157" s="1410" cm="1">
        <f t="array" aca="1" ref="Z157" ca="1">IFERROR(INDEX('Eléments de constr. inté. et ex'!L:L, $F156)*$K157/$M157,0)/$I$1*(1-0.8*N157)</f>
        <v>0</v>
      </c>
      <c r="AA157" s="1460">
        <f t="shared" ca="1" si="230"/>
        <v>0</v>
      </c>
      <c r="AB157" s="1460"/>
    </row>
    <row r="158" spans="2:28" ht="15.75" outlineLevel="1">
      <c r="B158" s="1871"/>
      <c r="C158" s="1874"/>
      <c r="D158" s="163"/>
      <c r="E158" s="163"/>
      <c r="F158" s="163">
        <f t="shared" ca="1" si="231"/>
        <v>2</v>
      </c>
      <c r="G158" s="163" cm="1">
        <f t="array" aca="1" ref="G158" ca="1">INDEX( 'Eléments de constr. inté. et ex'!C:C, $F157)</f>
        <v>0</v>
      </c>
      <c r="H158" s="163" cm="1">
        <f t="array" aca="1" ref="H158" ca="1">INDEX( 'Eléments de constr. inté. et ex'!D:D, $F157)</f>
        <v>0</v>
      </c>
      <c r="I158" s="163" cm="1">
        <f t="array" aca="1" ref="I158" ca="1">INDEX( 'Eléments de constr. inté. et ex'!G:G, $F157)</f>
        <v>0</v>
      </c>
      <c r="J158" s="163">
        <f ca="1">_xlfn.XLOOKUP($I158,'Baumaterialien Matériaux'!A:A,'Baumaterialien Matériaux'!G:G,0,0)</f>
        <v>0</v>
      </c>
      <c r="K158" s="262">
        <f t="shared" ca="1" si="232"/>
        <v>0</v>
      </c>
      <c r="L158" s="163" cm="1">
        <f t="array" aca="1" ref="L158" ca="1">INDEX( 'Eléments de constr. inté. et ex'!J:J, $F157)</f>
        <v>0</v>
      </c>
      <c r="M158" s="1522" cm="1">
        <f t="array" aca="1" ref="M158" ca="1">INDEX( 'Eléments de constr. inté. et ex'!H:H, $F157)</f>
        <v>0</v>
      </c>
      <c r="N158" s="1627">
        <f>'Outil détaillé'!E$37</f>
        <v>0</v>
      </c>
      <c r="O158" s="1502" cm="1">
        <f t="array" aca="1" ref="O158" ca="1">IFERROR(INDEX('Eléments de constr. inté. et ex'!M:M, $F157)*$K158/$M158,0)/$I$1*(1-0.8*N158)</f>
        <v>0</v>
      </c>
      <c r="P158" s="1416">
        <f t="shared" ca="1" si="227"/>
        <v>0</v>
      </c>
      <c r="Q158" s="1416">
        <f t="shared" ca="1" si="227"/>
        <v>0</v>
      </c>
      <c r="R158" s="256" cm="1">
        <f t="array" aca="1" ref="R158" ca="1">_xlfn.SWITCH(L158,R$3,O158+S158,P$3,P158,0)</f>
        <v>0</v>
      </c>
      <c r="S158" s="1410" cm="1">
        <f t="array" aca="1" ref="S158" ca="1">IFERROR(INDEX('Eléments de constr. inté. et ex'!N:N, $F157)*$K158/$M158,0)/$I$1*(1-0.8*N158)</f>
        <v>0</v>
      </c>
      <c r="T158" s="1411">
        <f t="shared" ca="1" si="228"/>
        <v>0</v>
      </c>
      <c r="U158" s="1530" cm="1">
        <f t="array" aca="1" ref="U158" ca="1">IFERROR(INDEX('Eléments de constr. inté. et ex'!O:O, $F157)*$K158/$M158,0)/$I$1*(1-0.8*N158)</f>
        <v>0</v>
      </c>
      <c r="V158" s="1502" cm="1">
        <f t="array" aca="1" ref="V158" ca="1">IFERROR(INDEX('Eléments de constr. inté. et ex'!K:K, $F157)*$K158/$M158,0)/$I$1*(1-0.8*N158)</f>
        <v>0</v>
      </c>
      <c r="W158" s="1416">
        <f t="shared" ca="1" si="229"/>
        <v>0</v>
      </c>
      <c r="X158" s="1416">
        <f t="shared" ca="1" si="229"/>
        <v>0</v>
      </c>
      <c r="Y158" s="256" cm="1">
        <f t="array" aca="1" ref="Y158" ca="1">_xlfn.SWITCH(T158,Y$3,V158+Z158,W$3,W158,0)</f>
        <v>0</v>
      </c>
      <c r="Z158" s="1410" cm="1">
        <f t="array" aca="1" ref="Z158" ca="1">IFERROR(INDEX('Eléments de constr. inté. et ex'!L:L, $F157)*$K158/$M158,0)/$I$1*(1-0.8*N158)</f>
        <v>0</v>
      </c>
      <c r="AA158" s="1460">
        <f t="shared" ca="1" si="230"/>
        <v>0</v>
      </c>
      <c r="AB158" s="1460"/>
    </row>
    <row r="159" spans="2:28" ht="15.75" outlineLevel="1">
      <c r="B159" s="1871"/>
      <c r="C159" s="1874"/>
      <c r="D159" s="163"/>
      <c r="E159" s="163"/>
      <c r="F159" s="163">
        <f t="shared" ca="1" si="231"/>
        <v>2</v>
      </c>
      <c r="G159" s="163" cm="1">
        <f t="array" aca="1" ref="G159" ca="1">INDEX( 'Eléments de constr. inté. et ex'!C:C, $F158)</f>
        <v>0</v>
      </c>
      <c r="H159" s="163" cm="1">
        <f t="array" aca="1" ref="H159" ca="1">INDEX( 'Eléments de constr. inté. et ex'!D:D, $F158)</f>
        <v>0</v>
      </c>
      <c r="I159" s="163" cm="1">
        <f t="array" aca="1" ref="I159" ca="1">INDEX( 'Eléments de constr. inté. et ex'!G:G, $F158)</f>
        <v>0</v>
      </c>
      <c r="J159" s="163">
        <f ca="1">_xlfn.XLOOKUP($I159,'Baumaterialien Matériaux'!A:A,'Baumaterialien Matériaux'!G:G,0,0)</f>
        <v>0</v>
      </c>
      <c r="K159" s="262">
        <f t="shared" ca="1" si="232"/>
        <v>0</v>
      </c>
      <c r="L159" s="163" cm="1">
        <f t="array" aca="1" ref="L159" ca="1">INDEX( 'Eléments de constr. inté. et ex'!J:J, $F158)</f>
        <v>0</v>
      </c>
      <c r="M159" s="1522" cm="1">
        <f t="array" aca="1" ref="M159" ca="1">INDEX( 'Eléments de constr. inté. et ex'!H:H, $F158)</f>
        <v>0</v>
      </c>
      <c r="N159" s="1627">
        <f>'Outil détaillé'!E$37</f>
        <v>0</v>
      </c>
      <c r="O159" s="1502" cm="1">
        <f t="array" aca="1" ref="O159" ca="1">IFERROR(INDEX('Eléments de constr. inté. et ex'!M:M, $F158)*$K159/$M159,0)/$I$1*(1-0.8*N159)</f>
        <v>0</v>
      </c>
      <c r="P159" s="1416">
        <f t="shared" ca="1" si="227"/>
        <v>0</v>
      </c>
      <c r="Q159" s="1416">
        <f t="shared" ca="1" si="227"/>
        <v>0</v>
      </c>
      <c r="R159" s="256" cm="1">
        <f t="array" aca="1" ref="R159" ca="1">_xlfn.SWITCH(L159,R$3,O159+S159,P$3,P159,0)</f>
        <v>0</v>
      </c>
      <c r="S159" s="1410" cm="1">
        <f t="array" aca="1" ref="S159" ca="1">IFERROR(INDEX('Eléments de constr. inté. et ex'!N:N, $F158)*$K159/$M159,0)/$I$1*(1-0.8*N159)</f>
        <v>0</v>
      </c>
      <c r="T159" s="1411">
        <f t="shared" ca="1" si="228"/>
        <v>0</v>
      </c>
      <c r="U159" s="1530" cm="1">
        <f t="array" aca="1" ref="U159" ca="1">IFERROR(INDEX('Eléments de constr. inté. et ex'!O:O, $F158)*$K159/$M159,0)/$I$1*(1-0.8*N159)</f>
        <v>0</v>
      </c>
      <c r="V159" s="1502" cm="1">
        <f t="array" aca="1" ref="V159" ca="1">IFERROR(INDEX('Eléments de constr. inté. et ex'!K:K, $F158)*$K159/$M159,0)/$I$1*(1-0.8*N159)</f>
        <v>0</v>
      </c>
      <c r="W159" s="1416">
        <f t="shared" ca="1" si="229"/>
        <v>0</v>
      </c>
      <c r="X159" s="1416">
        <f t="shared" ca="1" si="229"/>
        <v>0</v>
      </c>
      <c r="Y159" s="256" cm="1">
        <f t="array" aca="1" ref="Y159" ca="1">_xlfn.SWITCH(T159,Y$3,V159+Z159,W$3,W159,0)</f>
        <v>0</v>
      </c>
      <c r="Z159" s="1410" cm="1">
        <f t="array" aca="1" ref="Z159" ca="1">IFERROR(INDEX('Eléments de constr. inté. et ex'!L:L, $F158)*$K159/$M159,0)/$I$1*(1-0.8*N159)</f>
        <v>0</v>
      </c>
      <c r="AA159" s="1460">
        <f t="shared" ca="1" si="230"/>
        <v>0</v>
      </c>
      <c r="AB159" s="1460"/>
    </row>
    <row r="160" spans="2:28" ht="15.75" outlineLevel="1">
      <c r="B160" s="1871"/>
      <c r="C160" s="1874"/>
      <c r="D160" s="163"/>
      <c r="E160" s="163"/>
      <c r="F160" s="163">
        <f t="shared" ca="1" si="231"/>
        <v>2</v>
      </c>
      <c r="G160" s="163" cm="1">
        <f t="array" aca="1" ref="G160" ca="1">INDEX( 'Eléments de constr. inté. et ex'!C:C, $F159)</f>
        <v>0</v>
      </c>
      <c r="H160" s="163" cm="1">
        <f t="array" aca="1" ref="H160" ca="1">INDEX( 'Eléments de constr. inté. et ex'!D:D, $F159)</f>
        <v>0</v>
      </c>
      <c r="I160" s="163" cm="1">
        <f t="array" aca="1" ref="I160" ca="1">INDEX( 'Eléments de constr. inté. et ex'!G:G, $F159)</f>
        <v>0</v>
      </c>
      <c r="J160" s="163">
        <f ca="1">_xlfn.XLOOKUP($I160,'Baumaterialien Matériaux'!A:A,'Baumaterialien Matériaux'!G:G,0,0)</f>
        <v>0</v>
      </c>
      <c r="K160" s="262">
        <f t="shared" ca="1" si="232"/>
        <v>0</v>
      </c>
      <c r="L160" s="163" cm="1">
        <f t="array" aca="1" ref="L160" ca="1">INDEX( 'Eléments de constr. inté. et ex'!J:J, $F159)</f>
        <v>0</v>
      </c>
      <c r="M160" s="1522" cm="1">
        <f t="array" aca="1" ref="M160" ca="1">INDEX( 'Eléments de constr. inté. et ex'!H:H, $F159)</f>
        <v>0</v>
      </c>
      <c r="N160" s="1627">
        <f>'Outil détaillé'!E$37</f>
        <v>0</v>
      </c>
      <c r="O160" s="1502" cm="1">
        <f t="array" aca="1" ref="O160" ca="1">IFERROR(INDEX('Eléments de constr. inté. et ex'!M:M, $F159)*$K160/$M160,0)/$I$1*(1-0.8*N160)</f>
        <v>0</v>
      </c>
      <c r="P160" s="1416">
        <f t="shared" ca="1" si="227"/>
        <v>0</v>
      </c>
      <c r="Q160" s="1416">
        <f t="shared" ca="1" si="227"/>
        <v>0</v>
      </c>
      <c r="R160" s="256" cm="1">
        <f t="array" aca="1" ref="R160" ca="1">_xlfn.SWITCH(L160,R$3,O160+S160,P$3,P160,0)</f>
        <v>0</v>
      </c>
      <c r="S160" s="1410" cm="1">
        <f t="array" aca="1" ref="S160" ca="1">IFERROR(INDEX('Eléments de constr. inté. et ex'!N:N, $F159)*$K160/$M160,0)/$I$1*(1-0.8*N160)</f>
        <v>0</v>
      </c>
      <c r="T160" s="1411">
        <f t="shared" ca="1" si="228"/>
        <v>0</v>
      </c>
      <c r="U160" s="1530" cm="1">
        <f t="array" aca="1" ref="U160" ca="1">IFERROR(INDEX('Eléments de constr. inté. et ex'!O:O, $F159)*$K160/$M160,0)/$I$1*(1-0.8*N160)</f>
        <v>0</v>
      </c>
      <c r="V160" s="1502" cm="1">
        <f t="array" aca="1" ref="V160" ca="1">IFERROR(INDEX('Eléments de constr. inté. et ex'!K:K, $F159)*$K160/$M160,0)/$I$1*(1-0.8*N160)</f>
        <v>0</v>
      </c>
      <c r="W160" s="1416">
        <f t="shared" ca="1" si="229"/>
        <v>0</v>
      </c>
      <c r="X160" s="1416">
        <f t="shared" ca="1" si="229"/>
        <v>0</v>
      </c>
      <c r="Y160" s="256" cm="1">
        <f t="array" aca="1" ref="Y160" ca="1">_xlfn.SWITCH(T160,Y$3,V160+Z160,W$3,W160,0)</f>
        <v>0</v>
      </c>
      <c r="Z160" s="1410" cm="1">
        <f t="array" aca="1" ref="Z160" ca="1">IFERROR(INDEX('Eléments de constr. inté. et ex'!L:L, $F159)*$K160/$M160,0)/$I$1*(1-0.8*N160)</f>
        <v>0</v>
      </c>
      <c r="AA160" s="1460">
        <f t="shared" ca="1" si="230"/>
        <v>0</v>
      </c>
      <c r="AB160" s="1460"/>
    </row>
    <row r="161" spans="2:28" ht="15.75">
      <c r="B161" s="1871"/>
      <c r="C161" s="1873" t="str">
        <f>'Outil détaillé'!C38</f>
        <v>C04.02</v>
      </c>
      <c r="D161" s="162" t="str">
        <f>'Outil détaillé'!D38</f>
        <v>Escaliers et rampes</v>
      </c>
      <c r="E161" s="162"/>
      <c r="F161" s="162">
        <f>MATCH(D161, 'Eléments de constr. inté. et ex'!B:B,0)</f>
        <v>60</v>
      </c>
      <c r="G161" s="162"/>
      <c r="H161" s="162"/>
      <c r="I161" s="162"/>
      <c r="J161" s="162"/>
      <c r="K161" s="265"/>
      <c r="L161" s="264"/>
      <c r="M161" s="1523"/>
      <c r="N161" s="1628"/>
      <c r="O161" s="1503">
        <f t="shared" ref="O161" ca="1" si="233">O162</f>
        <v>0</v>
      </c>
      <c r="P161" s="1504">
        <f t="shared" ref="P161:AA161" ca="1" si="234">P162</f>
        <v>0</v>
      </c>
      <c r="Q161" s="1504">
        <f t="shared" ca="1" si="234"/>
        <v>0</v>
      </c>
      <c r="R161" s="1504">
        <f t="shared" ca="1" si="234"/>
        <v>0</v>
      </c>
      <c r="S161" s="1504">
        <f t="shared" ca="1" si="234"/>
        <v>0</v>
      </c>
      <c r="T161" s="1504">
        <f t="shared" ca="1" si="234"/>
        <v>0</v>
      </c>
      <c r="U161" s="1505">
        <f t="shared" ca="1" si="234"/>
        <v>0</v>
      </c>
      <c r="V161" s="1503">
        <f t="shared" ca="1" si="234"/>
        <v>0</v>
      </c>
      <c r="W161" s="1504">
        <f t="shared" ca="1" si="234"/>
        <v>0</v>
      </c>
      <c r="X161" s="1504">
        <f t="shared" ca="1" si="234"/>
        <v>0</v>
      </c>
      <c r="Y161" s="1504">
        <f t="shared" ca="1" si="234"/>
        <v>0</v>
      </c>
      <c r="Z161" s="1504">
        <f t="shared" ca="1" si="234"/>
        <v>0</v>
      </c>
      <c r="AA161" s="1505">
        <f t="shared" ca="1" si="234"/>
        <v>0</v>
      </c>
      <c r="AB161" s="1505"/>
    </row>
    <row r="162" spans="2:28" ht="15.75">
      <c r="B162" s="1871"/>
      <c r="C162" s="1874"/>
      <c r="D162" s="163" t="str">
        <f>'Outil détaillé'!D39</f>
        <v>Escaliers</v>
      </c>
      <c r="E162" s="164" t="str">
        <f>'Outil détaillé'!F39</f>
        <v>Escaliers béton</v>
      </c>
      <c r="F162" s="801">
        <f ca="1">MATCH(E162, INDIRECT("'Eléments de constr. inté. et ex'!A"&amp;F161+1&amp;":A500"),0)+F161</f>
        <v>61</v>
      </c>
      <c r="G162" s="164"/>
      <c r="H162" s="164"/>
      <c r="I162" s="164"/>
      <c r="J162" s="164" t="s">
        <v>87</v>
      </c>
      <c r="K162" s="270">
        <f>'Outil détaillé'!K39</f>
        <v>0</v>
      </c>
      <c r="L162" s="271"/>
      <c r="M162" s="1467"/>
      <c r="N162" s="1623"/>
      <c r="O162" s="1488">
        <f t="shared" ref="O162" ca="1" si="235">SUM(O163:O167)</f>
        <v>0</v>
      </c>
      <c r="P162" s="1489">
        <f t="shared" ref="P162:U162" ca="1" si="236">SUM(P163:P167)</f>
        <v>0</v>
      </c>
      <c r="Q162" s="1489">
        <f t="shared" ca="1" si="236"/>
        <v>0</v>
      </c>
      <c r="R162" s="1489">
        <f t="shared" ca="1" si="236"/>
        <v>0</v>
      </c>
      <c r="S162" s="1489">
        <f t="shared" ca="1" si="236"/>
        <v>0</v>
      </c>
      <c r="T162" s="1489">
        <f t="shared" ca="1" si="236"/>
        <v>0</v>
      </c>
      <c r="U162" s="1490">
        <f t="shared" ca="1" si="236"/>
        <v>0</v>
      </c>
      <c r="V162" s="1488">
        <f t="shared" ref="V162" ca="1" si="237">SUM(V163:V167)</f>
        <v>0</v>
      </c>
      <c r="W162" s="1489">
        <f t="shared" ref="W162:Z162" ca="1" si="238">SUM(W163:W167)</f>
        <v>0</v>
      </c>
      <c r="X162" s="1489">
        <f t="shared" ca="1" si="238"/>
        <v>0</v>
      </c>
      <c r="Y162" s="1489">
        <f t="shared" ca="1" si="238"/>
        <v>0</v>
      </c>
      <c r="Z162" s="1489">
        <f t="shared" ca="1" si="238"/>
        <v>0</v>
      </c>
      <c r="AA162" s="1490">
        <f t="shared" ref="AA162" ca="1" si="239">SUM(AA163:AA167)</f>
        <v>0</v>
      </c>
      <c r="AB162" s="1490"/>
    </row>
    <row r="163" spans="2:28" ht="15.75" outlineLevel="1">
      <c r="B163" s="1871"/>
      <c r="C163" s="1874"/>
      <c r="D163" s="163"/>
      <c r="E163" s="163"/>
      <c r="F163" s="163">
        <f ca="1">IF(I163=0,2,F162+1)</f>
        <v>62</v>
      </c>
      <c r="G163" s="163" t="str" cm="1">
        <f t="array" aca="1" ref="G163" ca="1">INDEX( 'Eléments de constr. inté. et ex'!C:C, $F162)</f>
        <v>Hochbaubeton 25 cm [kg]</v>
      </c>
      <c r="H163" s="163" t="str" cm="1">
        <f t="array" aca="1" ref="H163" ca="1">INDEX( 'Eléments de constr. inté. et ex'!D:D, $F162)</f>
        <v>Béton pour bâtiment (sans armature)</v>
      </c>
      <c r="I163" s="163" t="str" cm="1">
        <f t="array" aca="1" ref="I163" ca="1">INDEX( 'Eléments de constr. inté. et ex'!G:G, $F162)</f>
        <v>01.002</v>
      </c>
      <c r="J163" s="163" t="str">
        <f ca="1">_xlfn.XLOOKUP($I163,'Baumaterialien Matériaux'!A:A,'Baumaterialien Matériaux'!G:G,0,0)</f>
        <v>kg</v>
      </c>
      <c r="K163" s="262">
        <f ca="1">M163*$K$162</f>
        <v>0</v>
      </c>
      <c r="L163" s="163" cm="1">
        <f t="array" aca="1" ref="L163" ca="1">INDEX( 'Eléments de constr. inté. et ex'!J:J, $F162)</f>
        <v>60</v>
      </c>
      <c r="M163" s="1522" cm="1">
        <f t="array" aca="1" ref="M163" ca="1">INDEX( 'Eléments de constr. inté. et ex'!H:H, $F162)</f>
        <v>568.40764331210187</v>
      </c>
      <c r="N163" s="1627">
        <f>'Outil détaillé'!E$39</f>
        <v>0</v>
      </c>
      <c r="O163" s="1502" cm="1">
        <f t="array" aca="1" ref="O163" ca="1">IFERROR(INDEX('Eléments de constr. inté. et ex'!M:M, $F162)*$K163/$M163,0)/$I$1*(1-0.8*N163)</f>
        <v>0</v>
      </c>
      <c r="P163" s="1416">
        <f t="shared" ref="P163:Q167" ca="1" si="240">IF($L163=P$3,$O163+$S163,0)</f>
        <v>0</v>
      </c>
      <c r="Q163" s="1416">
        <f t="shared" ca="1" si="240"/>
        <v>0</v>
      </c>
      <c r="R163" s="256" cm="1">
        <f t="array" aca="1" ref="R163" ca="1">_xlfn.SWITCH(L163,R$3,O163+S163,P$3,P163,0)</f>
        <v>0</v>
      </c>
      <c r="S163" s="1410" cm="1">
        <f t="array" aca="1" ref="S163" ca="1">IFERROR(INDEX('Eléments de constr. inté. et ex'!N:N, $F162)*$K163/$M163,0)/$I$1*(1-0.8*N163)</f>
        <v>0</v>
      </c>
      <c r="T163" s="1411">
        <f t="shared" ref="T163:T167" ca="1" si="241">SUM(O163:S163)</f>
        <v>0</v>
      </c>
      <c r="U163" s="1530" cm="1">
        <f t="array" aca="1" ref="U163" ca="1">IFERROR(INDEX('Eléments de constr. inté. et ex'!O:O, $F162)*$K163/$M163,0)/$I$1*(1-0.8*N163)</f>
        <v>0</v>
      </c>
      <c r="V163" s="1502" cm="1">
        <f t="array" aca="1" ref="V163" ca="1">IFERROR(INDEX('Eléments de constr. inté. et ex'!K:K, $F162)*$K163/$M163,0)/$I$1*(1-0.8*N163)</f>
        <v>0</v>
      </c>
      <c r="W163" s="1416">
        <f t="shared" ref="W163:X167" ca="1" si="242">IF($L163=W$3,$V163+$Z163,0)</f>
        <v>0</v>
      </c>
      <c r="X163" s="1416">
        <f t="shared" ca="1" si="242"/>
        <v>0</v>
      </c>
      <c r="Y163" s="256" cm="1">
        <f t="array" aca="1" ref="Y163" ca="1">_xlfn.SWITCH(T163,Y$3,V163+Z163,W$3,W163,0)</f>
        <v>0</v>
      </c>
      <c r="Z163" s="1410" cm="1">
        <f t="array" aca="1" ref="Z163" ca="1">IFERROR(INDEX('Eléments de constr. inté. et ex'!L:L, $F162)*$K163/$M163,0)/$I$1*(1-0.8*N163)</f>
        <v>0</v>
      </c>
      <c r="AA163" s="1460">
        <f t="shared" ref="AA163:AA167" ca="1" si="243">SUM(V163:Z163)</f>
        <v>0</v>
      </c>
      <c r="AB163" s="1460"/>
    </row>
    <row r="164" spans="2:28" ht="15.75" outlineLevel="1">
      <c r="B164" s="1871"/>
      <c r="C164" s="1874"/>
      <c r="D164" s="163"/>
      <c r="E164" s="163"/>
      <c r="F164" s="163">
        <f t="shared" ref="F164:F167" ca="1" si="244">IF(I164=0,2,F163+1)</f>
        <v>63</v>
      </c>
      <c r="G164" s="163" t="str" cm="1">
        <f t="array" aca="1" ref="G164" ca="1">INDEX( 'Eléments de constr. inté. et ex'!C:C, $F163)</f>
        <v>Armierungsstahl (Bewehrungsgehalt 90 kg/m3) [kg]</v>
      </c>
      <c r="H164" s="163" t="str" cm="1">
        <f t="array" aca="1" ref="H164" ca="1">INDEX( 'Eléments de constr. inté. et ex'!D:D, $F163)</f>
        <v>Acier d'armature</v>
      </c>
      <c r="I164" s="163" t="str" cm="1">
        <f t="array" aca="1" ref="I164" ca="1">INDEX( 'Eléments de constr. inté. et ex'!G:G, $F163)</f>
        <v>06.003</v>
      </c>
      <c r="J164" s="163" t="str">
        <f ca="1">_xlfn.XLOOKUP($I164,'Baumaterialien Matériaux'!A:A,'Baumaterialien Matériaux'!G:G,0,0)</f>
        <v>kg</v>
      </c>
      <c r="K164" s="262">
        <f t="shared" ref="K164:K167" ca="1" si="245">M164*$K$162</f>
        <v>0</v>
      </c>
      <c r="L164" s="163" cm="1">
        <f t="array" aca="1" ref="L164" ca="1">INDEX( 'Eléments de constr. inté. et ex'!J:J, $F163)</f>
        <v>60</v>
      </c>
      <c r="M164" s="1522" cm="1">
        <f t="array" aca="1" ref="M164" ca="1">INDEX( 'Eléments de constr. inté. et ex'!H:H, $F163)</f>
        <v>22.5</v>
      </c>
      <c r="N164" s="1627">
        <f>'Outil détaillé'!E$39</f>
        <v>0</v>
      </c>
      <c r="O164" s="1502" cm="1">
        <f t="array" aca="1" ref="O164" ca="1">IFERROR(INDEX('Eléments de constr. inté. et ex'!M:M, $F163)*$K164/$M164,0)/$I$1*(1-0.8*N164)</f>
        <v>0</v>
      </c>
      <c r="P164" s="1416">
        <f t="shared" ca="1" si="240"/>
        <v>0</v>
      </c>
      <c r="Q164" s="1416">
        <f t="shared" ca="1" si="240"/>
        <v>0</v>
      </c>
      <c r="R164" s="256" cm="1">
        <f t="array" aca="1" ref="R164" ca="1">_xlfn.SWITCH(L164,R$3,O164+S164,P$3,P164,0)</f>
        <v>0</v>
      </c>
      <c r="S164" s="1410" cm="1">
        <f t="array" aca="1" ref="S164" ca="1">IFERROR(INDEX('Eléments de constr. inté. et ex'!N:N, $F163)*$K164/$M164,0)/$I$1*(1-0.8*N164)</f>
        <v>0</v>
      </c>
      <c r="T164" s="1411">
        <f t="shared" ca="1" si="241"/>
        <v>0</v>
      </c>
      <c r="U164" s="1530" cm="1">
        <f t="array" aca="1" ref="U164" ca="1">IFERROR(INDEX('Eléments de constr. inté. et ex'!O:O, $F163)*$K164/$M164,0)/$I$1*(1-0.8*N164)</f>
        <v>0</v>
      </c>
      <c r="V164" s="1502" cm="1">
        <f t="array" aca="1" ref="V164" ca="1">IFERROR(INDEX('Eléments de constr. inté. et ex'!K:K, $F163)*$K164/$M164,0)/$I$1*(1-0.8*N164)</f>
        <v>0</v>
      </c>
      <c r="W164" s="1416">
        <f t="shared" ca="1" si="242"/>
        <v>0</v>
      </c>
      <c r="X164" s="1416">
        <f t="shared" ca="1" si="242"/>
        <v>0</v>
      </c>
      <c r="Y164" s="256" cm="1">
        <f t="array" aca="1" ref="Y164" ca="1">_xlfn.SWITCH(T164,Y$3,V164+Z164,W$3,W164,0)</f>
        <v>0</v>
      </c>
      <c r="Z164" s="1410" cm="1">
        <f t="array" aca="1" ref="Z164" ca="1">IFERROR(INDEX('Eléments de constr. inté. et ex'!L:L, $F163)*$K164/$M164,0)/$I$1*(1-0.8*N164)</f>
        <v>0</v>
      </c>
      <c r="AA164" s="1460">
        <f t="shared" ca="1" si="243"/>
        <v>0</v>
      </c>
      <c r="AB164" s="1460"/>
    </row>
    <row r="165" spans="2:28" ht="15.75" outlineLevel="1">
      <c r="B165" s="1871"/>
      <c r="C165" s="1874"/>
      <c r="D165" s="163"/>
      <c r="E165" s="163"/>
      <c r="F165" s="163">
        <f t="shared" ca="1" si="244"/>
        <v>64</v>
      </c>
      <c r="G165" s="163" t="str" cm="1">
        <f t="array" aca="1" ref="G165" ca="1">INDEX( 'Eléments de constr. inté. et ex'!C:C, $F164)</f>
        <v>3-SP Schalung 2.5cm (Annahme 5xverwendet) [kg]</v>
      </c>
      <c r="H165" s="163" t="str" cm="1">
        <f t="array" aca="1" ref="H165" ca="1">INDEX( 'Eléments de constr. inté. et ex'!D:D, $F164)</f>
        <v>Bois massif 3 et 5 plis</v>
      </c>
      <c r="I165" s="163" t="str" cm="1">
        <f t="array" aca="1" ref="I165" ca="1">INDEX( 'Eléments de constr. inté. et ex'!G:G, $F164)</f>
        <v>07.001</v>
      </c>
      <c r="J165" s="163" t="str">
        <f ca="1">_xlfn.XLOOKUP($I165,'Baumaterialien Matériaux'!A:A,'Baumaterialien Matériaux'!G:G,0,0)</f>
        <v>kg</v>
      </c>
      <c r="K165" s="262">
        <f t="shared" ca="1" si="245"/>
        <v>0</v>
      </c>
      <c r="L165" s="163" cm="1">
        <f t="array" aca="1" ref="L165" ca="1">INDEX( 'Eléments de constr. inté. et ex'!J:J, $F164)</f>
        <v>60</v>
      </c>
      <c r="M165" s="1522" cm="1">
        <f t="array" aca="1" ref="M165" ca="1">INDEX( 'Eléments de constr. inté. et ex'!H:H, $F164)</f>
        <v>4.7000000000000011</v>
      </c>
      <c r="N165" s="1627">
        <f>'Outil détaillé'!E$39</f>
        <v>0</v>
      </c>
      <c r="O165" s="1502" cm="1">
        <f t="array" aca="1" ref="O165" ca="1">IFERROR(INDEX('Eléments de constr. inté. et ex'!M:M, $F164)*$K165/$M165,0)/$I$1*(1-0.8*N165)</f>
        <v>0</v>
      </c>
      <c r="P165" s="1416">
        <f t="shared" ca="1" si="240"/>
        <v>0</v>
      </c>
      <c r="Q165" s="1416">
        <f t="shared" ca="1" si="240"/>
        <v>0</v>
      </c>
      <c r="R165" s="256" cm="1">
        <f t="array" aca="1" ref="R165" ca="1">_xlfn.SWITCH(L165,R$3,O165+S165,P$3,P165,0)</f>
        <v>0</v>
      </c>
      <c r="S165" s="1410" cm="1">
        <f t="array" aca="1" ref="S165" ca="1">IFERROR(INDEX('Eléments de constr. inté. et ex'!N:N, $F164)*$K165/$M165,0)/$I$1*(1-0.8*N165)</f>
        <v>0</v>
      </c>
      <c r="T165" s="1411">
        <f t="shared" ca="1" si="241"/>
        <v>0</v>
      </c>
      <c r="U165" s="1530" cm="1">
        <f t="array" aca="1" ref="U165" ca="1">IFERROR(INDEX('Eléments de constr. inté. et ex'!O:O, $F164)*$K165/$M165,0)/$I$1*(1-0.8*N165)</f>
        <v>0</v>
      </c>
      <c r="V165" s="1502" cm="1">
        <f t="array" aca="1" ref="V165" ca="1">IFERROR(INDEX('Eléments de constr. inté. et ex'!K:K, $F164)*$K165/$M165,0)/$I$1*(1-0.8*N165)</f>
        <v>0</v>
      </c>
      <c r="W165" s="1416">
        <f t="shared" ca="1" si="242"/>
        <v>0</v>
      </c>
      <c r="X165" s="1416">
        <f t="shared" ca="1" si="242"/>
        <v>0</v>
      </c>
      <c r="Y165" s="256" cm="1">
        <f t="array" aca="1" ref="Y165" ca="1">_xlfn.SWITCH(T165,Y$3,V165+Z165,W$3,W165,0)</f>
        <v>0</v>
      </c>
      <c r="Z165" s="1410" cm="1">
        <f t="array" aca="1" ref="Z165" ca="1">IFERROR(INDEX('Eléments de constr. inté. et ex'!L:L, $F164)*$K165/$M165,0)/$I$1*(1-0.8*N165)</f>
        <v>0</v>
      </c>
      <c r="AA165" s="1460">
        <f t="shared" ca="1" si="243"/>
        <v>0</v>
      </c>
      <c r="AB165" s="1460"/>
    </row>
    <row r="166" spans="2:28" ht="15.75" outlineLevel="1">
      <c r="B166" s="1871"/>
      <c r="C166" s="1874"/>
      <c r="D166" s="163"/>
      <c r="E166" s="163"/>
      <c r="F166" s="163">
        <f t="shared" ca="1" si="244"/>
        <v>2</v>
      </c>
      <c r="G166" s="163" cm="1">
        <f t="array" aca="1" ref="G166" ca="1">INDEX( 'Eléments de constr. inté. et ex'!C:C, $F165)</f>
        <v>0</v>
      </c>
      <c r="H166" s="163" cm="1">
        <f t="array" aca="1" ref="H166" ca="1">INDEX( 'Eléments de constr. inté. et ex'!D:D, $F165)</f>
        <v>0</v>
      </c>
      <c r="I166" s="163" cm="1">
        <f t="array" aca="1" ref="I166" ca="1">INDEX( 'Eléments de constr. inté. et ex'!G:G, $F165)</f>
        <v>0</v>
      </c>
      <c r="J166" s="163">
        <f ca="1">_xlfn.XLOOKUP($I166,'Baumaterialien Matériaux'!A:A,'Baumaterialien Matériaux'!G:G,0,0)</f>
        <v>0</v>
      </c>
      <c r="K166" s="262">
        <f t="shared" ca="1" si="245"/>
        <v>0</v>
      </c>
      <c r="L166" s="163" cm="1">
        <f t="array" aca="1" ref="L166" ca="1">INDEX( 'Eléments de constr. inté. et ex'!J:J, $F165)</f>
        <v>0</v>
      </c>
      <c r="M166" s="1522" cm="1">
        <f t="array" aca="1" ref="M166" ca="1">INDEX( 'Eléments de constr. inté. et ex'!H:H, $F165)</f>
        <v>0</v>
      </c>
      <c r="N166" s="1627">
        <f>'Outil détaillé'!E$39</f>
        <v>0</v>
      </c>
      <c r="O166" s="1502" cm="1">
        <f t="array" aca="1" ref="O166" ca="1">IFERROR(INDEX('Eléments de constr. inté. et ex'!M:M, $F165)*$K166/$M166,0)/$I$1*(1-0.8*N166)</f>
        <v>0</v>
      </c>
      <c r="P166" s="1416">
        <f t="shared" ca="1" si="240"/>
        <v>0</v>
      </c>
      <c r="Q166" s="1416">
        <f t="shared" ca="1" si="240"/>
        <v>0</v>
      </c>
      <c r="R166" s="256" cm="1">
        <f t="array" aca="1" ref="R166" ca="1">_xlfn.SWITCH(L166,R$3,O166+S166,P$3,P166,0)</f>
        <v>0</v>
      </c>
      <c r="S166" s="1410" cm="1">
        <f t="array" aca="1" ref="S166" ca="1">IFERROR(INDEX('Eléments de constr. inté. et ex'!N:N, $F165)*$K166/$M166,0)/$I$1*(1-0.8*N166)</f>
        <v>0</v>
      </c>
      <c r="T166" s="1411">
        <f t="shared" ca="1" si="241"/>
        <v>0</v>
      </c>
      <c r="U166" s="1530" cm="1">
        <f t="array" aca="1" ref="U166" ca="1">IFERROR(INDEX('Eléments de constr. inté. et ex'!O:O, $F165)*$K166/$M166,0)/$I$1*(1-0.8*N166)</f>
        <v>0</v>
      </c>
      <c r="V166" s="1502" cm="1">
        <f t="array" aca="1" ref="V166" ca="1">IFERROR(INDEX('Eléments de constr. inté. et ex'!K:K, $F165)*$K166/$M166,0)/$I$1*(1-0.8*N166)</f>
        <v>0</v>
      </c>
      <c r="W166" s="1416">
        <f t="shared" ca="1" si="242"/>
        <v>0</v>
      </c>
      <c r="X166" s="1416">
        <f t="shared" ca="1" si="242"/>
        <v>0</v>
      </c>
      <c r="Y166" s="256" cm="1">
        <f t="array" aca="1" ref="Y166" ca="1">_xlfn.SWITCH(T166,Y$3,V166+Z166,W$3,W166,0)</f>
        <v>0</v>
      </c>
      <c r="Z166" s="1410" cm="1">
        <f t="array" aca="1" ref="Z166" ca="1">IFERROR(INDEX('Eléments de constr. inté. et ex'!L:L, $F165)*$K166/$M166,0)/$I$1*(1-0.8*N166)</f>
        <v>0</v>
      </c>
      <c r="AA166" s="1460">
        <f t="shared" ca="1" si="243"/>
        <v>0</v>
      </c>
      <c r="AB166" s="1460"/>
    </row>
    <row r="167" spans="2:28" ht="15.75" outlineLevel="1">
      <c r="B167" s="1871"/>
      <c r="C167" s="1874"/>
      <c r="D167" s="163"/>
      <c r="E167" s="163"/>
      <c r="F167" s="163">
        <f t="shared" ca="1" si="244"/>
        <v>2</v>
      </c>
      <c r="G167" s="163" cm="1">
        <f t="array" aca="1" ref="G167" ca="1">INDEX( 'Eléments de constr. inté. et ex'!C:C, $F166)</f>
        <v>0</v>
      </c>
      <c r="H167" s="163" cm="1">
        <f t="array" aca="1" ref="H167" ca="1">INDEX( 'Eléments de constr. inté. et ex'!D:D, $F166)</f>
        <v>0</v>
      </c>
      <c r="I167" s="163" cm="1">
        <f t="array" aca="1" ref="I167" ca="1">INDEX( 'Eléments de constr. inté. et ex'!G:G, $F166)</f>
        <v>0</v>
      </c>
      <c r="J167" s="163">
        <f ca="1">_xlfn.XLOOKUP($I167,'Baumaterialien Matériaux'!A:A,'Baumaterialien Matériaux'!G:G,0,0)</f>
        <v>0</v>
      </c>
      <c r="K167" s="262">
        <f t="shared" ca="1" si="245"/>
        <v>0</v>
      </c>
      <c r="L167" s="163" cm="1">
        <f t="array" aca="1" ref="L167" ca="1">INDEX( 'Eléments de constr. inté. et ex'!J:J, $F166)</f>
        <v>0</v>
      </c>
      <c r="M167" s="1522" cm="1">
        <f t="array" aca="1" ref="M167" ca="1">INDEX( 'Eléments de constr. inté. et ex'!H:H, $F166)</f>
        <v>0</v>
      </c>
      <c r="N167" s="1627">
        <f>'Outil détaillé'!E$39</f>
        <v>0</v>
      </c>
      <c r="O167" s="1502" cm="1">
        <f t="array" aca="1" ref="O167" ca="1">IFERROR(INDEX('Eléments de constr. inté. et ex'!M:M, $F166)*$K167/$M167,0)/$I$1*(1-0.8*N167)</f>
        <v>0</v>
      </c>
      <c r="P167" s="1416">
        <f t="shared" ca="1" si="240"/>
        <v>0</v>
      </c>
      <c r="Q167" s="1416">
        <f t="shared" ca="1" si="240"/>
        <v>0</v>
      </c>
      <c r="R167" s="256" cm="1">
        <f t="array" aca="1" ref="R167" ca="1">_xlfn.SWITCH(L167,R$3,O167+S167,P$3,P167,0)</f>
        <v>0</v>
      </c>
      <c r="S167" s="1410" cm="1">
        <f t="array" aca="1" ref="S167" ca="1">IFERROR(INDEX('Eléments de constr. inté. et ex'!N:N, $F166)*$K167/$M167,0)/$I$1*(1-0.8*N167)</f>
        <v>0</v>
      </c>
      <c r="T167" s="1411">
        <f t="shared" ca="1" si="241"/>
        <v>0</v>
      </c>
      <c r="U167" s="1530" cm="1">
        <f t="array" aca="1" ref="U167" ca="1">IFERROR(INDEX('Eléments de constr. inté. et ex'!O:O, $F166)*$K167/$M167,0)/$I$1*(1-0.8*N167)</f>
        <v>0</v>
      </c>
      <c r="V167" s="1502" cm="1">
        <f t="array" aca="1" ref="V167" ca="1">IFERROR(INDEX('Eléments de constr. inté. et ex'!K:K, $F166)*$K167/$M167,0)/$I$1*(1-0.8*N167)</f>
        <v>0</v>
      </c>
      <c r="W167" s="1416">
        <f t="shared" ca="1" si="242"/>
        <v>0</v>
      </c>
      <c r="X167" s="1416">
        <f t="shared" ca="1" si="242"/>
        <v>0</v>
      </c>
      <c r="Y167" s="256" cm="1">
        <f t="array" aca="1" ref="Y167" ca="1">_xlfn.SWITCH(T167,Y$3,V167+Z167,W$3,W167,0)</f>
        <v>0</v>
      </c>
      <c r="Z167" s="1410" cm="1">
        <f t="array" aca="1" ref="Z167" ca="1">IFERROR(INDEX('Eléments de constr. inté. et ex'!L:L, $F166)*$K167/$M167,0)/$I$1*(1-0.8*N167)</f>
        <v>0</v>
      </c>
      <c r="AA167" s="1460">
        <f t="shared" ca="1" si="243"/>
        <v>0</v>
      </c>
      <c r="AB167" s="1460"/>
    </row>
    <row r="168" spans="2:28" ht="15.75" customHeight="1">
      <c r="B168" s="1871"/>
      <c r="C168" s="1873" t="str">
        <f>'Outil détaillé'!C40</f>
        <v>C04.08</v>
      </c>
      <c r="D168" s="162" t="str">
        <f>'Outil détaillé'!D40</f>
        <v>Balcons, avant-toits</v>
      </c>
      <c r="E168" s="162"/>
      <c r="F168" s="162">
        <f>MATCH(D168, 'Eléments de constr. inté. et ex'!B:B,0)</f>
        <v>66</v>
      </c>
      <c r="G168" s="162"/>
      <c r="H168" s="162"/>
      <c r="I168" s="162"/>
      <c r="J168" s="162"/>
      <c r="K168" s="265"/>
      <c r="L168" s="264"/>
      <c r="M168" s="1523"/>
      <c r="N168" s="1628"/>
      <c r="O168" s="1503">
        <f t="shared" ref="O168" ca="1" si="246">O169</f>
        <v>1.80667</v>
      </c>
      <c r="P168" s="1504">
        <f t="shared" ref="P168:AA168" ca="1" si="247">P169</f>
        <v>0</v>
      </c>
      <c r="Q168" s="1504">
        <f t="shared" ca="1" si="247"/>
        <v>0</v>
      </c>
      <c r="R168" s="1504">
        <f t="shared" ca="1" si="247"/>
        <v>2.3746209999999999</v>
      </c>
      <c r="S168" s="1504">
        <f t="shared" ca="1" si="247"/>
        <v>0.56795099999999998</v>
      </c>
      <c r="T168" s="1504">
        <f t="shared" ca="1" si="247"/>
        <v>4.7492419999999997</v>
      </c>
      <c r="U168" s="1505">
        <f t="shared" ca="1" si="247"/>
        <v>15.627256333333333</v>
      </c>
      <c r="V168" s="1503">
        <f t="shared" ca="1" si="247"/>
        <v>7.3631719999999996</v>
      </c>
      <c r="W168" s="1504">
        <f t="shared" ca="1" si="247"/>
        <v>0</v>
      </c>
      <c r="X168" s="1504">
        <f t="shared" ca="1" si="247"/>
        <v>0</v>
      </c>
      <c r="Y168" s="1504">
        <f t="shared" ca="1" si="247"/>
        <v>0</v>
      </c>
      <c r="Z168" s="1504">
        <f t="shared" ca="1" si="247"/>
        <v>0.88315920000000003</v>
      </c>
      <c r="AA168" s="1505">
        <f t="shared" ca="1" si="247"/>
        <v>8.2463311999999984</v>
      </c>
      <c r="AB168" s="1505"/>
    </row>
    <row r="169" spans="2:28" ht="15.75">
      <c r="B169" s="1871"/>
      <c r="C169" s="1874"/>
      <c r="D169" s="163" t="str">
        <f>'Outil détaillé'!D41</f>
        <v>Balcons y c. dispositifs antichute</v>
      </c>
      <c r="E169" s="164" t="str">
        <f>'Outil détaillé'!F41</f>
        <v>Balcons bois y c. dispositifs antichute</v>
      </c>
      <c r="F169" s="801">
        <f ca="1">MATCH(E169, INDIRECT("'Eléments de constr. inté. et ex'!A"&amp;F168+1&amp;":A500"),0)+F168</f>
        <v>77</v>
      </c>
      <c r="G169" s="164"/>
      <c r="H169" s="164"/>
      <c r="I169" s="164"/>
      <c r="J169" s="164" t="s">
        <v>87</v>
      </c>
      <c r="K169" s="270">
        <f>'Outil détaillé'!K41</f>
        <v>32</v>
      </c>
      <c r="L169" s="271"/>
      <c r="M169" s="1467"/>
      <c r="N169" s="1623"/>
      <c r="O169" s="1488">
        <f t="shared" ref="O169" ca="1" si="248">SUM(O170:O177)</f>
        <v>1.80667</v>
      </c>
      <c r="P169" s="1489">
        <f t="shared" ref="P169:U169" ca="1" si="249">SUM(P170:P177)</f>
        <v>0</v>
      </c>
      <c r="Q169" s="1489">
        <f t="shared" ca="1" si="249"/>
        <v>0</v>
      </c>
      <c r="R169" s="1489">
        <f t="shared" ca="1" si="249"/>
        <v>2.3746209999999999</v>
      </c>
      <c r="S169" s="1489">
        <f t="shared" ca="1" si="249"/>
        <v>0.56795099999999998</v>
      </c>
      <c r="T169" s="1489">
        <f t="shared" ca="1" si="249"/>
        <v>4.7492419999999997</v>
      </c>
      <c r="U169" s="1490">
        <f t="shared" ca="1" si="249"/>
        <v>15.627256333333333</v>
      </c>
      <c r="V169" s="1488">
        <f t="shared" ref="V169" ca="1" si="250">SUM(V170:V177)</f>
        <v>7.3631719999999996</v>
      </c>
      <c r="W169" s="1489">
        <f t="shared" ref="W169:Z169" ca="1" si="251">SUM(W170:W177)</f>
        <v>0</v>
      </c>
      <c r="X169" s="1489">
        <f t="shared" ca="1" si="251"/>
        <v>0</v>
      </c>
      <c r="Y169" s="1489">
        <f t="shared" ca="1" si="251"/>
        <v>0</v>
      </c>
      <c r="Z169" s="1489">
        <f t="shared" ca="1" si="251"/>
        <v>0.88315920000000003</v>
      </c>
      <c r="AA169" s="1490">
        <f t="shared" ref="AA169" ca="1" si="252">SUM(AA170:AA177)</f>
        <v>8.2463311999999984</v>
      </c>
      <c r="AB169" s="1490"/>
    </row>
    <row r="170" spans="2:28" ht="15.75" outlineLevel="1">
      <c r="B170" s="1871"/>
      <c r="C170" s="1874"/>
      <c r="D170" s="163"/>
      <c r="E170" s="163"/>
      <c r="F170" s="163">
        <f ca="1">IF(I170=0,2,F169+1)</f>
        <v>78</v>
      </c>
      <c r="G170" s="163" t="str" cm="1">
        <f t="array" aca="1" ref="G170" ca="1">INDEX( 'Eléments de constr. inté. et ex'!C:C, $F169)</f>
        <v>Structure bois avec pilliers bois</v>
      </c>
      <c r="H170" s="163" t="str" cm="1">
        <f t="array" aca="1" ref="H170" ca="1">INDEX( 'Eléments de constr. inté. et ex'!D:D, $F169)</f>
        <v>Bois massif épicéa / sapin / mélèze, séché en cellule, raboté</v>
      </c>
      <c r="I170" s="163" t="str" cm="1">
        <f t="array" aca="1" ref="I170" ca="1">INDEX( 'Eléments de constr. inté. et ex'!G:G, $F169)</f>
        <v>07.011</v>
      </c>
      <c r="J170" s="163" t="str">
        <f ca="1">_xlfn.XLOOKUP($I170,'Baumaterialien Matériaux'!A:A,'Baumaterialien Matériaux'!G:G,0,0)</f>
        <v>kg</v>
      </c>
      <c r="K170" s="262">
        <f ca="1">M170*$K$169</f>
        <v>887.84</v>
      </c>
      <c r="L170" s="163" cm="1">
        <f t="array" aca="1" ref="L170" ca="1">INDEX( 'Eléments de constr. inté. et ex'!J:J, $F169)</f>
        <v>40</v>
      </c>
      <c r="M170" s="1522" cm="1">
        <f t="array" aca="1" ref="M170" ca="1">INDEX( 'Eléments de constr. inté. et ex'!H:H, $F169)</f>
        <v>27.745000000000001</v>
      </c>
      <c r="N170" s="1627">
        <f>'Outil détaillé'!E$41</f>
        <v>0</v>
      </c>
      <c r="O170" s="1502" cm="1">
        <f t="array" aca="1" ref="O170" ca="1">IFERROR(INDEX('Eléments de constr. inté. et ex'!M:M, $F169)*$K170/$M170,0)/$I$1*(1-0.8*N170)</f>
        <v>0.74356600000000006</v>
      </c>
      <c r="P170" s="1416">
        <f t="shared" ref="P170:Q177" ca="1" si="253">IF($L170=P$3,$O170+$S170,0)</f>
        <v>0</v>
      </c>
      <c r="Q170" s="1416">
        <f t="shared" ca="1" si="253"/>
        <v>0</v>
      </c>
      <c r="R170" s="256" cm="1">
        <f t="array" aca="1" ref="R170" ca="1">_xlfn.SWITCH(L170,R$3,O170+S170,P$3,P170,0)</f>
        <v>0.95997700000000008</v>
      </c>
      <c r="S170" s="1410" cm="1">
        <f t="array" aca="1" ref="S170" ca="1">IFERROR(INDEX('Eléments de constr. inté. et ex'!N:N, $F169)*$K170/$M170,0)/$I$1*(1-0.8*N170)</f>
        <v>0.21641099999999999</v>
      </c>
      <c r="T170" s="1411">
        <f t="shared" ref="T170:T177" ca="1" si="254">SUM(O170:S170)</f>
        <v>1.9199540000000002</v>
      </c>
      <c r="U170" s="1530" cm="1">
        <f t="array" aca="1" ref="U170" ca="1">IFERROR(INDEX('Eléments de constr. inté. et ex'!O:O, $F169)*$K170/$M170,0)/$I$1*(1-0.8*N170)</f>
        <v>9.1761963333333334</v>
      </c>
      <c r="V170" s="1502" cm="1">
        <f t="array" aca="1" ref="V170" ca="1">IFERROR(INDEX('Eléments de constr. inté. et ex'!K:K, $F169)*$K170/$M170,0)/$I$1*(1-0.8*N170)</f>
        <v>3.8177119999999993</v>
      </c>
      <c r="W170" s="1416">
        <f t="shared" ref="W170:X177" ca="1" si="255">IF($L170=W$3,$V170+$Z170,0)</f>
        <v>0</v>
      </c>
      <c r="X170" s="1416">
        <f t="shared" ca="1" si="255"/>
        <v>0</v>
      </c>
      <c r="Y170" s="256" cm="1">
        <f t="array" aca="1" ref="Y170" ca="1">_xlfn.SWITCH(T170,Y$3,V170+Z170,W$3,W170,0)</f>
        <v>0</v>
      </c>
      <c r="Z170" s="1410" cm="1">
        <f t="array" aca="1" ref="Z170" ca="1">IFERROR(INDEX('Eléments de constr. inté. et ex'!L:L, $F169)*$K170/$M170,0)/$I$1*(1-0.8*N170)</f>
        <v>0.4927512</v>
      </c>
      <c r="AA170" s="1460">
        <f t="shared" ref="AA170:AA177" ca="1" si="256">SUM(V170:Z170)</f>
        <v>4.3104631999999992</v>
      </c>
      <c r="AB170" s="1460"/>
    </row>
    <row r="171" spans="2:28" ht="15.75" outlineLevel="1">
      <c r="B171" s="1871"/>
      <c r="C171" s="1874"/>
      <c r="D171" s="163"/>
      <c r="E171" s="163"/>
      <c r="F171" s="163">
        <f t="shared" ref="F171:F176" ca="1" si="257">IF(I171=0,2,F170+1)</f>
        <v>79</v>
      </c>
      <c r="G171" s="163" t="str" cm="1">
        <f t="array" aca="1" ref="G171" ca="1">INDEX( 'Eléments de constr. inté. et ex'!C:C, $F170)</f>
        <v>Gardecorps? Structure  bois + bardage bois</v>
      </c>
      <c r="H171" s="163" t="str" cm="1">
        <f t="array" aca="1" ref="H171" ca="1">INDEX( 'Eléments de constr. inté. et ex'!D:D, $F170)</f>
        <v>Bois massif épicéa / sapin / mélèze, séché à l'air, brut</v>
      </c>
      <c r="I171" s="163" t="str" cm="1">
        <f t="array" aca="1" ref="I171" ca="1">INDEX( 'Eléments de constr. inté. et ex'!G:G, $F170)</f>
        <v>07.009</v>
      </c>
      <c r="J171" s="163" t="str">
        <f ca="1">_xlfn.XLOOKUP($I171,'Baumaterialien Matériaux'!A:A,'Baumaterialien Matériaux'!G:G,0,0)</f>
        <v>kg</v>
      </c>
      <c r="K171" s="262">
        <f t="shared" ref="K171:K177" ca="1" si="258">M171*$K$169</f>
        <v>681.6</v>
      </c>
      <c r="L171" s="163" cm="1">
        <f t="array" aca="1" ref="L171" ca="1">INDEX( 'Eléments de constr. inté. et ex'!J:J, $F170)</f>
        <v>40</v>
      </c>
      <c r="M171" s="1522" cm="1">
        <f t="array" aca="1" ref="M171" ca="1">INDEX( 'Eléments de constr. inté. et ex'!H:H, $F170)</f>
        <v>21.3</v>
      </c>
      <c r="N171" s="1627">
        <f>'Outil détaillé'!E$41</f>
        <v>0</v>
      </c>
      <c r="O171" s="1502" cm="1">
        <f t="array" aca="1" ref="O171" ca="1">IFERROR(INDEX('Eléments de constr. inté. et ex'!M:M, $F170)*$K171/$M171,0)/$I$1*(1-0.8*N171)</f>
        <v>0.385104</v>
      </c>
      <c r="P171" s="1416">
        <f t="shared" ca="1" si="253"/>
        <v>0</v>
      </c>
      <c r="Q171" s="1416">
        <f t="shared" ca="1" si="253"/>
        <v>0</v>
      </c>
      <c r="R171" s="256" cm="1">
        <f t="array" aca="1" ref="R171" ca="1">_xlfn.SWITCH(L171,R$3,O171+S171,P$3,P171,0)</f>
        <v>0.55124399999999996</v>
      </c>
      <c r="S171" s="1410" cm="1">
        <f t="array" aca="1" ref="S171" ca="1">IFERROR(INDEX('Eléments de constr. inté. et ex'!N:N, $F170)*$K171/$M171,0)/$I$1*(1-0.8*N171)</f>
        <v>0.16613999999999998</v>
      </c>
      <c r="T171" s="1411">
        <f t="shared" ca="1" si="254"/>
        <v>1.1024879999999999</v>
      </c>
      <c r="U171" s="1530" cm="1">
        <f t="array" aca="1" ref="U171" ca="1">IFERROR(INDEX('Eléments de constr. inté. et ex'!O:O, $F170)*$K171/$M171,0)/$I$1*(1-0.8*N171)</f>
        <v>6.45106</v>
      </c>
      <c r="V171" s="1502" cm="1">
        <f t="array" aca="1" ref="V171" ca="1">IFERROR(INDEX('Eléments de constr. inté. et ex'!K:K, $F170)*$K171/$M171,0)/$I$1*(1-0.8*N171)</f>
        <v>1.7934600000000001</v>
      </c>
      <c r="W171" s="1416">
        <f t="shared" ca="1" si="255"/>
        <v>0</v>
      </c>
      <c r="X171" s="1416">
        <f t="shared" ca="1" si="255"/>
        <v>0</v>
      </c>
      <c r="Y171" s="256" cm="1">
        <f t="array" aca="1" ref="Y171" ca="1">_xlfn.SWITCH(T171,Y$3,V171+Z171,W$3,W171,0)</f>
        <v>0</v>
      </c>
      <c r="Z171" s="1410" cm="1">
        <f t="array" aca="1" ref="Z171" ca="1">IFERROR(INDEX('Eléments de constr. inté. et ex'!L:L, $F170)*$K171/$M171,0)/$I$1*(1-0.8*N171)</f>
        <v>0.37828800000000007</v>
      </c>
      <c r="AA171" s="1460">
        <f t="shared" ca="1" si="256"/>
        <v>2.171748</v>
      </c>
      <c r="AB171" s="1460"/>
    </row>
    <row r="172" spans="2:28" ht="15.75" outlineLevel="1">
      <c r="B172" s="1871"/>
      <c r="C172" s="1874"/>
      <c r="D172" s="163"/>
      <c r="E172" s="163"/>
      <c r="F172" s="163">
        <f t="shared" ca="1" si="257"/>
        <v>80</v>
      </c>
      <c r="G172" s="163" t="str" cm="1">
        <f t="array" aca="1" ref="G172" ca="1">INDEX( 'Eléments de constr. inté. et ex'!C:C, $F171)</f>
        <v>XPS (Kragplattenanschluss)[kg]</v>
      </c>
      <c r="H172" s="163" t="str" cm="1">
        <f t="array" aca="1" ref="H172" ca="1">INDEX( 'Eléments de constr. inté. et ex'!D:D, $F171)</f>
        <v>Polystyrène extrudé (XPS)</v>
      </c>
      <c r="I172" s="163" t="str" cm="1">
        <f t="array" aca="1" ref="I172" ca="1">INDEX( 'Eléments de constr. inté. et ex'!G:G, $F171)</f>
        <v>10.005</v>
      </c>
      <c r="J172" s="163" t="str">
        <f ca="1">_xlfn.XLOOKUP($I172,'Baumaterialien Matériaux'!A:A,'Baumaterialien Matériaux'!G:G,0,0)</f>
        <v>kg</v>
      </c>
      <c r="K172" s="262">
        <f t="shared" ca="1" si="258"/>
        <v>9.6</v>
      </c>
      <c r="L172" s="163" cm="1">
        <f t="array" aca="1" ref="L172" ca="1">INDEX( 'Eléments de constr. inté. et ex'!J:J, $F171)</f>
        <v>40</v>
      </c>
      <c r="M172" s="1522" cm="1">
        <f t="array" aca="1" ref="M172" ca="1">INDEX( 'Eléments de constr. inté. et ex'!H:H, $F171)</f>
        <v>0.3</v>
      </c>
      <c r="N172" s="1627">
        <f>'Outil détaillé'!E$41</f>
        <v>0</v>
      </c>
      <c r="O172" s="1502" cm="1">
        <f t="array" aca="1" ref="O172" ca="1">IFERROR(INDEX('Eléments de constr. inté. et ex'!M:M, $F171)*$K172/$M172,0)/$I$1*(1-0.8*N172)</f>
        <v>0.67799999999999994</v>
      </c>
      <c r="P172" s="1416">
        <f t="shared" ca="1" si="253"/>
        <v>0</v>
      </c>
      <c r="Q172" s="1416">
        <f t="shared" ca="1" si="253"/>
        <v>0</v>
      </c>
      <c r="R172" s="256" cm="1">
        <f t="array" aca="1" ref="R172" ca="1">_xlfn.SWITCH(L172,R$3,O172+S172,P$3,P172,0)</f>
        <v>0.86339999999999995</v>
      </c>
      <c r="S172" s="1410" cm="1">
        <f t="array" aca="1" ref="S172" ca="1">IFERROR(INDEX('Eléments de constr. inté. et ex'!N:N, $F171)*$K172/$M172,0)/$I$1*(1-0.8*N172)</f>
        <v>0.18539999999999998</v>
      </c>
      <c r="T172" s="1411">
        <f t="shared" ca="1" si="254"/>
        <v>1.7267999999999999</v>
      </c>
      <c r="U172" s="1530" cm="1">
        <f t="array" aca="1" ref="U172" ca="1">IFERROR(INDEX('Eléments de constr. inté. et ex'!O:O, $F171)*$K172/$M172,0)/$I$1*(1-0.8*N172)</f>
        <v>0</v>
      </c>
      <c r="V172" s="1502" cm="1">
        <f t="array" aca="1" ref="V172" ca="1">IFERROR(INDEX('Eléments de constr. inté. et ex'!K:K, $F171)*$K172/$M172,0)/$I$1*(1-0.8*N172)</f>
        <v>1.752</v>
      </c>
      <c r="W172" s="1416">
        <f t="shared" ca="1" si="255"/>
        <v>0</v>
      </c>
      <c r="X172" s="1416">
        <f t="shared" ca="1" si="255"/>
        <v>0</v>
      </c>
      <c r="Y172" s="256" cm="1">
        <f t="array" aca="1" ref="Y172" ca="1">_xlfn.SWITCH(T172,Y$3,V172+Z172,W$3,W172,0)</f>
        <v>0</v>
      </c>
      <c r="Z172" s="1410" cm="1">
        <f t="array" aca="1" ref="Z172" ca="1">IFERROR(INDEX('Eléments de constr. inté. et ex'!L:L, $F171)*$K172/$M172,0)/$I$1*(1-0.8*N172)</f>
        <v>1.2119999999999999E-2</v>
      </c>
      <c r="AA172" s="1460">
        <f t="shared" ca="1" si="256"/>
        <v>1.7641199999999999</v>
      </c>
      <c r="AB172" s="1460"/>
    </row>
    <row r="173" spans="2:28" ht="15.75" outlineLevel="1">
      <c r="B173" s="1871"/>
      <c r="C173" s="1874"/>
      <c r="D173" s="163"/>
      <c r="E173" s="163"/>
      <c r="F173" s="163">
        <f t="shared" ca="1" si="257"/>
        <v>2</v>
      </c>
      <c r="G173" s="163" cm="1">
        <f t="array" aca="1" ref="G173" ca="1">INDEX( 'Eléments de constr. inté. et ex'!C:C, $F172)</f>
        <v>0</v>
      </c>
      <c r="H173" s="163" cm="1">
        <f t="array" aca="1" ref="H173" ca="1">INDEX( 'Eléments de constr. inté. et ex'!D:D, $F172)</f>
        <v>0</v>
      </c>
      <c r="I173" s="163" cm="1">
        <f t="array" aca="1" ref="I173" ca="1">INDEX( 'Eléments de constr. inté. et ex'!G:G, $F172)</f>
        <v>0</v>
      </c>
      <c r="J173" s="163">
        <f ca="1">_xlfn.XLOOKUP($I173,'Baumaterialien Matériaux'!A:A,'Baumaterialien Matériaux'!G:G,0,0)</f>
        <v>0</v>
      </c>
      <c r="K173" s="262">
        <f t="shared" ca="1" si="258"/>
        <v>0</v>
      </c>
      <c r="L173" s="163" cm="1">
        <f t="array" aca="1" ref="L173" ca="1">INDEX( 'Eléments de constr. inté. et ex'!J:J, $F172)</f>
        <v>40</v>
      </c>
      <c r="M173" s="1522" cm="1">
        <f t="array" aca="1" ref="M173" ca="1">INDEX( 'Eléments de constr. inté. et ex'!H:H, $F172)</f>
        <v>0</v>
      </c>
      <c r="N173" s="1627">
        <f>'Outil détaillé'!E$41</f>
        <v>0</v>
      </c>
      <c r="O173" s="1502" cm="1">
        <f t="array" aca="1" ref="O173" ca="1">IFERROR(INDEX('Eléments de constr. inté. et ex'!M:M, $F172)*$K173/$M173,0)/$I$1*(1-0.8*N173)</f>
        <v>0</v>
      </c>
      <c r="P173" s="1416">
        <f t="shared" ca="1" si="253"/>
        <v>0</v>
      </c>
      <c r="Q173" s="1416">
        <f t="shared" ca="1" si="253"/>
        <v>0</v>
      </c>
      <c r="R173" s="256" cm="1">
        <f t="array" aca="1" ref="R173" ca="1">_xlfn.SWITCH(L173,R$3,O173+S173,P$3,P173,0)</f>
        <v>0</v>
      </c>
      <c r="S173" s="1410" cm="1">
        <f t="array" aca="1" ref="S173" ca="1">IFERROR(INDEX('Eléments de constr. inté. et ex'!N:N, $F172)*$K173/$M173,0)/$I$1*(1-0.8*N173)</f>
        <v>0</v>
      </c>
      <c r="T173" s="1411">
        <f t="shared" ca="1" si="254"/>
        <v>0</v>
      </c>
      <c r="U173" s="1530" cm="1">
        <f t="array" aca="1" ref="U173" ca="1">IFERROR(INDEX('Eléments de constr. inté. et ex'!O:O, $F172)*$K173/$M173,0)/$I$1*(1-0.8*N173)</f>
        <v>0</v>
      </c>
      <c r="V173" s="1502" cm="1">
        <f t="array" aca="1" ref="V173" ca="1">IFERROR(INDEX('Eléments de constr. inté. et ex'!K:K, $F172)*$K173/$M173,0)/$I$1*(1-0.8*N173)</f>
        <v>0</v>
      </c>
      <c r="W173" s="1416">
        <f t="shared" ca="1" si="255"/>
        <v>0</v>
      </c>
      <c r="X173" s="1416">
        <f t="shared" ca="1" si="255"/>
        <v>0</v>
      </c>
      <c r="Y173" s="256" cm="1">
        <f t="array" aca="1" ref="Y173" ca="1">_xlfn.SWITCH(T173,Y$3,V173+Z173,W$3,W173,0)</f>
        <v>0</v>
      </c>
      <c r="Z173" s="1410" cm="1">
        <f t="array" aca="1" ref="Z173" ca="1">IFERROR(INDEX('Eléments de constr. inté. et ex'!L:L, $F172)*$K173/$M173,0)/$I$1*(1-0.8*N173)</f>
        <v>0</v>
      </c>
      <c r="AA173" s="1460">
        <f t="shared" ca="1" si="256"/>
        <v>0</v>
      </c>
      <c r="AB173" s="1460"/>
    </row>
    <row r="174" spans="2:28" ht="15.75" outlineLevel="1">
      <c r="B174" s="1871"/>
      <c r="C174" s="1874"/>
      <c r="D174" s="163"/>
      <c r="E174" s="163"/>
      <c r="F174" s="163">
        <f t="shared" ca="1" si="257"/>
        <v>2</v>
      </c>
      <c r="G174" s="163" cm="1">
        <f t="array" aca="1" ref="G174" ca="1">INDEX( 'Eléments de constr. inté. et ex'!C:C, $F173)</f>
        <v>0</v>
      </c>
      <c r="H174" s="163" cm="1">
        <f t="array" aca="1" ref="H174" ca="1">INDEX( 'Eléments de constr. inté. et ex'!D:D, $F173)</f>
        <v>0</v>
      </c>
      <c r="I174" s="163" cm="1">
        <f t="array" aca="1" ref="I174" ca="1">INDEX( 'Eléments de constr. inté. et ex'!G:G, $F173)</f>
        <v>0</v>
      </c>
      <c r="J174" s="163">
        <f ca="1">_xlfn.XLOOKUP($I174,'Baumaterialien Matériaux'!A:A,'Baumaterialien Matériaux'!G:G,0,0)</f>
        <v>0</v>
      </c>
      <c r="K174" s="262">
        <f t="shared" ca="1" si="258"/>
        <v>0</v>
      </c>
      <c r="L174" s="163" cm="1">
        <f t="array" aca="1" ref="L174" ca="1">INDEX( 'Eléments de constr. inté. et ex'!J:J, $F173)</f>
        <v>0</v>
      </c>
      <c r="M174" s="1522" cm="1">
        <f t="array" aca="1" ref="M174" ca="1">INDEX( 'Eléments de constr. inté. et ex'!H:H, $F173)</f>
        <v>0</v>
      </c>
      <c r="N174" s="1627">
        <f>'Outil détaillé'!E$41</f>
        <v>0</v>
      </c>
      <c r="O174" s="1502" cm="1">
        <f t="array" aca="1" ref="O174" ca="1">IFERROR(INDEX('Eléments de constr. inté. et ex'!M:M, $F173)*$K174/$M174,0)/$I$1*(1-0.8*N174)</f>
        <v>0</v>
      </c>
      <c r="P174" s="1416">
        <f t="shared" ca="1" si="253"/>
        <v>0</v>
      </c>
      <c r="Q174" s="1416">
        <f t="shared" ca="1" si="253"/>
        <v>0</v>
      </c>
      <c r="R174" s="256" cm="1">
        <f t="array" aca="1" ref="R174" ca="1">_xlfn.SWITCH(L174,R$3,O174+S174,P$3,P174,0)</f>
        <v>0</v>
      </c>
      <c r="S174" s="1410" cm="1">
        <f t="array" aca="1" ref="S174" ca="1">IFERROR(INDEX('Eléments de constr. inté. et ex'!N:N, $F173)*$K174/$M174,0)/$I$1*(1-0.8*N174)</f>
        <v>0</v>
      </c>
      <c r="T174" s="1411">
        <f t="shared" ca="1" si="254"/>
        <v>0</v>
      </c>
      <c r="U174" s="1530" cm="1">
        <f t="array" aca="1" ref="U174" ca="1">IFERROR(INDEX('Eléments de constr. inté. et ex'!O:O, $F173)*$K174/$M174,0)/$I$1*(1-0.8*N174)</f>
        <v>0</v>
      </c>
      <c r="V174" s="1502" cm="1">
        <f t="array" aca="1" ref="V174" ca="1">IFERROR(INDEX('Eléments de constr. inté. et ex'!K:K, $F173)*$K174/$M174,0)/$I$1*(1-0.8*N174)</f>
        <v>0</v>
      </c>
      <c r="W174" s="1416">
        <f t="shared" ca="1" si="255"/>
        <v>0</v>
      </c>
      <c r="X174" s="1416">
        <f t="shared" ca="1" si="255"/>
        <v>0</v>
      </c>
      <c r="Y174" s="256" cm="1">
        <f t="array" aca="1" ref="Y174" ca="1">_xlfn.SWITCH(T174,Y$3,V174+Z174,W$3,W174,0)</f>
        <v>0</v>
      </c>
      <c r="Z174" s="1410" cm="1">
        <f t="array" aca="1" ref="Z174" ca="1">IFERROR(INDEX('Eléments de constr. inté. et ex'!L:L, $F173)*$K174/$M174,0)/$I$1*(1-0.8*N174)</f>
        <v>0</v>
      </c>
      <c r="AA174" s="1460">
        <f t="shared" ca="1" si="256"/>
        <v>0</v>
      </c>
      <c r="AB174" s="1460"/>
    </row>
    <row r="175" spans="2:28" ht="15.75" customHeight="1" outlineLevel="1">
      <c r="B175" s="1871"/>
      <c r="C175" s="1874"/>
      <c r="D175" s="163"/>
      <c r="E175" s="163"/>
      <c r="F175" s="163">
        <f t="shared" ca="1" si="257"/>
        <v>2</v>
      </c>
      <c r="G175" s="163" cm="1">
        <f t="array" aca="1" ref="G175" ca="1">INDEX( 'Eléments de constr. inté. et ex'!C:C, $F174)</f>
        <v>0</v>
      </c>
      <c r="H175" s="163" cm="1">
        <f t="array" aca="1" ref="H175" ca="1">INDEX( 'Eléments de constr. inté. et ex'!D:D, $F174)</f>
        <v>0</v>
      </c>
      <c r="I175" s="163" cm="1">
        <f t="array" aca="1" ref="I175" ca="1">INDEX( 'Eléments de constr. inté. et ex'!G:G, $F174)</f>
        <v>0</v>
      </c>
      <c r="J175" s="163">
        <f ca="1">_xlfn.XLOOKUP($I175,'Baumaterialien Matériaux'!A:A,'Baumaterialien Matériaux'!G:G,0,0)</f>
        <v>0</v>
      </c>
      <c r="K175" s="262">
        <f ca="1">M175*$K$169</f>
        <v>0</v>
      </c>
      <c r="L175" s="163" cm="1">
        <f t="array" aca="1" ref="L175" ca="1">INDEX( 'Eléments de constr. inté. et ex'!J:J, $F174)</f>
        <v>0</v>
      </c>
      <c r="M175" s="1522" cm="1">
        <f t="array" aca="1" ref="M175" ca="1">INDEX( 'Eléments de constr. inté. et ex'!H:H, $F174)</f>
        <v>0</v>
      </c>
      <c r="N175" s="1627">
        <f>'Outil détaillé'!E$41</f>
        <v>0</v>
      </c>
      <c r="O175" s="1502" cm="1">
        <f t="array" aca="1" ref="O175" ca="1">IFERROR(INDEX('Eléments de constr. inté. et ex'!M:M, $F174)*$K175/$M175,0)/$I$1*(1-0.8*N175)</f>
        <v>0</v>
      </c>
      <c r="P175" s="1416">
        <f t="shared" ca="1" si="253"/>
        <v>0</v>
      </c>
      <c r="Q175" s="1416">
        <f t="shared" ca="1" si="253"/>
        <v>0</v>
      </c>
      <c r="R175" s="256" cm="1">
        <f t="array" aca="1" ref="R175" ca="1">_xlfn.SWITCH(L175,R$3,O175+S175,P$3,P175,0)</f>
        <v>0</v>
      </c>
      <c r="S175" s="1410" cm="1">
        <f t="array" aca="1" ref="S175" ca="1">IFERROR(INDEX('Eléments de constr. inté. et ex'!N:N, $F174)*$K175/$M175,0)/$I$1*(1-0.8*N175)</f>
        <v>0</v>
      </c>
      <c r="T175" s="1411">
        <f t="shared" ca="1" si="254"/>
        <v>0</v>
      </c>
      <c r="U175" s="1530" cm="1">
        <f t="array" aca="1" ref="U175" ca="1">IFERROR(INDEX('Eléments de constr. inté. et ex'!O:O, $F174)*$K175/$M175,0)/$I$1*(1-0.8*N175)</f>
        <v>0</v>
      </c>
      <c r="V175" s="1502" cm="1">
        <f t="array" aca="1" ref="V175" ca="1">IFERROR(INDEX('Eléments de constr. inté. et ex'!K:K, $F174)*$K175/$M175,0)/$I$1*(1-0.8*N175)</f>
        <v>0</v>
      </c>
      <c r="W175" s="1416">
        <f t="shared" ca="1" si="255"/>
        <v>0</v>
      </c>
      <c r="X175" s="1416">
        <f t="shared" ca="1" si="255"/>
        <v>0</v>
      </c>
      <c r="Y175" s="256" cm="1">
        <f t="array" aca="1" ref="Y175" ca="1">_xlfn.SWITCH(T175,Y$3,V175+Z175,W$3,W175,0)</f>
        <v>0</v>
      </c>
      <c r="Z175" s="1410" cm="1">
        <f t="array" aca="1" ref="Z175" ca="1">IFERROR(INDEX('Eléments de constr. inté. et ex'!L:L, $F174)*$K175/$M175,0)/$I$1*(1-0.8*N175)</f>
        <v>0</v>
      </c>
      <c r="AA175" s="1460">
        <f t="shared" ca="1" si="256"/>
        <v>0</v>
      </c>
      <c r="AB175" s="1460"/>
    </row>
    <row r="176" spans="2:28" ht="15.75" outlineLevel="1">
      <c r="B176" s="1871"/>
      <c r="C176" s="1874"/>
      <c r="D176" s="163"/>
      <c r="E176" s="163"/>
      <c r="F176" s="163">
        <f t="shared" ca="1" si="257"/>
        <v>2</v>
      </c>
      <c r="G176" s="163" cm="1">
        <f t="array" aca="1" ref="G176" ca="1">INDEX( 'Eléments de constr. inté. et ex'!C:C, $F175)</f>
        <v>0</v>
      </c>
      <c r="H176" s="163" cm="1">
        <f t="array" aca="1" ref="H176" ca="1">INDEX( 'Eléments de constr. inté. et ex'!D:D, $F175)</f>
        <v>0</v>
      </c>
      <c r="I176" s="163" cm="1">
        <f t="array" aca="1" ref="I176" ca="1">INDEX( 'Eléments de constr. inté. et ex'!G:G, $F175)</f>
        <v>0</v>
      </c>
      <c r="J176" s="163">
        <f ca="1">_xlfn.XLOOKUP($I176,'Baumaterialien Matériaux'!A:A,'Baumaterialien Matériaux'!G:G,0,0)</f>
        <v>0</v>
      </c>
      <c r="K176" s="262">
        <f t="shared" ca="1" si="258"/>
        <v>0</v>
      </c>
      <c r="L176" s="163" cm="1">
        <f t="array" aca="1" ref="L176" ca="1">INDEX( 'Eléments de constr. inté. et ex'!J:J, $F175)</f>
        <v>0</v>
      </c>
      <c r="M176" s="1522" cm="1">
        <f t="array" aca="1" ref="M176" ca="1">INDEX( 'Eléments de constr. inté. et ex'!H:H, $F175)</f>
        <v>0</v>
      </c>
      <c r="N176" s="1627">
        <f>'Outil détaillé'!E$41</f>
        <v>0</v>
      </c>
      <c r="O176" s="1502" cm="1">
        <f t="array" aca="1" ref="O176" ca="1">IFERROR(INDEX('Eléments de constr. inté. et ex'!M:M, $F175)*$K176/$M176,0)/$I$1*(1-0.8*N176)</f>
        <v>0</v>
      </c>
      <c r="P176" s="1416">
        <f t="shared" ca="1" si="253"/>
        <v>0</v>
      </c>
      <c r="Q176" s="1416">
        <f t="shared" ca="1" si="253"/>
        <v>0</v>
      </c>
      <c r="R176" s="256" cm="1">
        <f t="array" aca="1" ref="R176" ca="1">_xlfn.SWITCH(L176,R$3,O176+S176,P$3,P176,0)</f>
        <v>0</v>
      </c>
      <c r="S176" s="1410" cm="1">
        <f t="array" aca="1" ref="S176" ca="1">IFERROR(INDEX('Eléments de constr. inté. et ex'!N:N, $F175)*$K176/$M176,0)/$I$1*(1-0.8*N176)</f>
        <v>0</v>
      </c>
      <c r="T176" s="1411">
        <f t="shared" ca="1" si="254"/>
        <v>0</v>
      </c>
      <c r="U176" s="1530" cm="1">
        <f t="array" aca="1" ref="U176" ca="1">IFERROR(INDEX('Eléments de constr. inté. et ex'!O:O, $F175)*$K176/$M176,0)/$I$1*(1-0.8*N176)</f>
        <v>0</v>
      </c>
      <c r="V176" s="1502" cm="1">
        <f t="array" aca="1" ref="V176" ca="1">IFERROR(INDEX('Eléments de constr. inté. et ex'!K:K, $F175)*$K176/$M176,0)/$I$1*(1-0.8*N176)</f>
        <v>0</v>
      </c>
      <c r="W176" s="1416">
        <f t="shared" ca="1" si="255"/>
        <v>0</v>
      </c>
      <c r="X176" s="1416">
        <f t="shared" ca="1" si="255"/>
        <v>0</v>
      </c>
      <c r="Y176" s="256" cm="1">
        <f t="array" aca="1" ref="Y176" ca="1">_xlfn.SWITCH(T176,Y$3,V176+Z176,W$3,W176,0)</f>
        <v>0</v>
      </c>
      <c r="Z176" s="1410" cm="1">
        <f t="array" aca="1" ref="Z176" ca="1">IFERROR(INDEX('Eléments de constr. inté. et ex'!L:L, $F175)*$K176/$M176,0)/$I$1*(1-0.8*N176)</f>
        <v>0</v>
      </c>
      <c r="AA176" s="1460">
        <f t="shared" ca="1" si="256"/>
        <v>0</v>
      </c>
      <c r="AB176" s="1460"/>
    </row>
    <row r="177" spans="2:28" ht="15.75" outlineLevel="1">
      <c r="B177" s="1871"/>
      <c r="C177" s="1875"/>
      <c r="D177" s="163"/>
      <c r="E177" s="163"/>
      <c r="F177" s="163">
        <f t="shared" ref="F177" ca="1" si="259">IF(I177=0,2,F176+1)</f>
        <v>2</v>
      </c>
      <c r="G177" s="163" cm="1">
        <f t="array" aca="1" ref="G177" ca="1">INDEX( 'Eléments de constr. inté. et ex'!C:C, $F176)</f>
        <v>0</v>
      </c>
      <c r="H177" s="163" cm="1">
        <f t="array" aca="1" ref="H177" ca="1">INDEX( 'Eléments de constr. inté. et ex'!D:D, $F176)</f>
        <v>0</v>
      </c>
      <c r="I177" s="163" cm="1">
        <f t="array" aca="1" ref="I177" ca="1">INDEX( 'Eléments de constr. inté. et ex'!G:G, $F176)</f>
        <v>0</v>
      </c>
      <c r="J177" s="163">
        <f ca="1">_xlfn.XLOOKUP($I177,'Baumaterialien Matériaux'!A:A,'Baumaterialien Matériaux'!G:G,0,0)</f>
        <v>0</v>
      </c>
      <c r="K177" s="262">
        <f t="shared" ca="1" si="258"/>
        <v>0</v>
      </c>
      <c r="L177" s="163" cm="1">
        <f t="array" aca="1" ref="L177" ca="1">INDEX( 'Eléments de constr. inté. et ex'!J:J, $F176)</f>
        <v>0</v>
      </c>
      <c r="M177" s="1522" cm="1">
        <f t="array" aca="1" ref="M177" ca="1">INDEX( 'Eléments de constr. inté. et ex'!H:H, $F176)</f>
        <v>0</v>
      </c>
      <c r="N177" s="1627">
        <f>'Outil détaillé'!E$41</f>
        <v>0</v>
      </c>
      <c r="O177" s="1502" cm="1">
        <f t="array" aca="1" ref="O177" ca="1">IFERROR(INDEX('Eléments de constr. inté. et ex'!M:M, $F176)*$K177/$M177,0)/$I$1*(1-0.8*N177)</f>
        <v>0</v>
      </c>
      <c r="P177" s="1416">
        <f t="shared" ca="1" si="253"/>
        <v>0</v>
      </c>
      <c r="Q177" s="1416">
        <f t="shared" ca="1" si="253"/>
        <v>0</v>
      </c>
      <c r="R177" s="256" cm="1">
        <f t="array" aca="1" ref="R177" ca="1">_xlfn.SWITCH(L177,R$3,O177+S177,P$3,P177,0)</f>
        <v>0</v>
      </c>
      <c r="S177" s="1410" cm="1">
        <f t="array" aca="1" ref="S177" ca="1">IFERROR(INDEX('Eléments de constr. inté. et ex'!N:N, $F176)*$K177/$M177,0)/$I$1*(1-0.8*N177)</f>
        <v>0</v>
      </c>
      <c r="T177" s="1411">
        <f t="shared" ca="1" si="254"/>
        <v>0</v>
      </c>
      <c r="U177" s="1530" cm="1">
        <f t="array" aca="1" ref="U177" ca="1">IFERROR(INDEX('Eléments de constr. inté. et ex'!O:O, $F176)*$K177/$M177,0)/$I$1*(1-0.8*N177)</f>
        <v>0</v>
      </c>
      <c r="V177" s="1502" cm="1">
        <f t="array" aca="1" ref="V177" ca="1">IFERROR(INDEX('Eléments de constr. inté. et ex'!K:K, $F176)*$K177/$M177,0)/$I$1*(1-0.8*N177)</f>
        <v>0</v>
      </c>
      <c r="W177" s="1416">
        <f t="shared" ca="1" si="255"/>
        <v>0</v>
      </c>
      <c r="X177" s="1416">
        <f t="shared" ca="1" si="255"/>
        <v>0</v>
      </c>
      <c r="Y177" s="256" cm="1">
        <f t="array" aca="1" ref="Y177" ca="1">_xlfn.SWITCH(T177,Y$3,V177+Z177,W$3,W177,0)</f>
        <v>0</v>
      </c>
      <c r="Z177" s="1410" cm="1">
        <f t="array" aca="1" ref="Z177" ca="1">IFERROR(INDEX('Eléments de constr. inté. et ex'!L:L, $F176)*$K177/$M177,0)/$I$1*(1-0.8*N177)</f>
        <v>0</v>
      </c>
      <c r="AA177" s="1460">
        <f t="shared" ca="1" si="256"/>
        <v>0</v>
      </c>
      <c r="AB177" s="1460"/>
    </row>
    <row r="178" spans="2:28" ht="15.75">
      <c r="B178" s="1871"/>
      <c r="C178" s="1873" t="str">
        <f>'Outil détaillé'!C42</f>
        <v>G01.05</v>
      </c>
      <c r="D178" s="162" t="str">
        <f>'Outil détaillé'!D42</f>
        <v>Portes</v>
      </c>
      <c r="E178" s="162"/>
      <c r="F178" s="162">
        <f>MATCH(D178, 'Eléments de constr. inté. et ex'!B:B,0)</f>
        <v>82</v>
      </c>
      <c r="G178" s="162"/>
      <c r="H178" s="162"/>
      <c r="I178" s="162"/>
      <c r="J178" s="162"/>
      <c r="K178" s="265"/>
      <c r="L178" s="264"/>
      <c r="M178" s="1523"/>
      <c r="N178" s="1628"/>
      <c r="O178" s="1503">
        <f t="shared" ref="O178" ca="1" si="260">O179</f>
        <v>0</v>
      </c>
      <c r="P178" s="1504">
        <f t="shared" ref="P178:AA178" ca="1" si="261">P179</f>
        <v>0</v>
      </c>
      <c r="Q178" s="1504">
        <f t="shared" ca="1" si="261"/>
        <v>0</v>
      </c>
      <c r="R178" s="1504">
        <f t="shared" ca="1" si="261"/>
        <v>0</v>
      </c>
      <c r="S178" s="1504">
        <f t="shared" ca="1" si="261"/>
        <v>0</v>
      </c>
      <c r="T178" s="1504">
        <f t="shared" ca="1" si="261"/>
        <v>0</v>
      </c>
      <c r="U178" s="1505">
        <f t="shared" ca="1" si="261"/>
        <v>0</v>
      </c>
      <c r="V178" s="1503">
        <f t="shared" ca="1" si="261"/>
        <v>0</v>
      </c>
      <c r="W178" s="1504">
        <f t="shared" ca="1" si="261"/>
        <v>0</v>
      </c>
      <c r="X178" s="1504">
        <f t="shared" ca="1" si="261"/>
        <v>0</v>
      </c>
      <c r="Y178" s="1504">
        <f t="shared" ca="1" si="261"/>
        <v>0</v>
      </c>
      <c r="Z178" s="1504">
        <f t="shared" ca="1" si="261"/>
        <v>0</v>
      </c>
      <c r="AA178" s="1505">
        <f t="shared" ca="1" si="261"/>
        <v>0</v>
      </c>
      <c r="AB178" s="1505"/>
    </row>
    <row r="179" spans="2:28" ht="15.75">
      <c r="B179" s="1871"/>
      <c r="C179" s="1874"/>
      <c r="D179" s="163" t="str">
        <f>'Outil détaillé'!D43</f>
        <v>Interne</v>
      </c>
      <c r="E179" s="657" t="str">
        <f>'Outil détaillé'!F43</f>
        <v>Portes internes</v>
      </c>
      <c r="F179" s="801">
        <f ca="1">MATCH(E179, INDIRECT("'Eléments de constr. inté. et ex'!A"&amp;F178+1&amp;":A500"),0)+F178</f>
        <v>83</v>
      </c>
      <c r="G179" s="657"/>
      <c r="H179" s="657"/>
      <c r="I179" s="657"/>
      <c r="J179" s="657" t="s">
        <v>87</v>
      </c>
      <c r="K179" s="658">
        <f>'Outil détaillé'!K43</f>
        <v>0</v>
      </c>
      <c r="L179" s="666"/>
      <c r="M179" s="1525"/>
      <c r="N179" s="1629"/>
      <c r="O179" s="1511">
        <f t="shared" ref="O179" ca="1" si="262">SUM(O180:O181)</f>
        <v>0</v>
      </c>
      <c r="P179" s="1512">
        <f t="shared" ref="P179:U179" ca="1" si="263">SUM(P180:P181)</f>
        <v>0</v>
      </c>
      <c r="Q179" s="1512">
        <f t="shared" ca="1" si="263"/>
        <v>0</v>
      </c>
      <c r="R179" s="1512">
        <f t="shared" ca="1" si="263"/>
        <v>0</v>
      </c>
      <c r="S179" s="1512">
        <f t="shared" ca="1" si="263"/>
        <v>0</v>
      </c>
      <c r="T179" s="1512">
        <f t="shared" ca="1" si="263"/>
        <v>0</v>
      </c>
      <c r="U179" s="1513">
        <f t="shared" ca="1" si="263"/>
        <v>0</v>
      </c>
      <c r="V179" s="1511">
        <f t="shared" ref="V179" ca="1" si="264">SUM(V180:V181)</f>
        <v>0</v>
      </c>
      <c r="W179" s="1512">
        <f t="shared" ref="W179:Z179" ca="1" si="265">SUM(W180:W181)</f>
        <v>0</v>
      </c>
      <c r="X179" s="1512">
        <f t="shared" ca="1" si="265"/>
        <v>0</v>
      </c>
      <c r="Y179" s="1512">
        <f t="shared" ca="1" si="265"/>
        <v>0</v>
      </c>
      <c r="Z179" s="1512">
        <f t="shared" ca="1" si="265"/>
        <v>0</v>
      </c>
      <c r="AA179" s="1513">
        <f t="shared" ref="AA179" ca="1" si="266">SUM(AA180:AA181)</f>
        <v>0</v>
      </c>
      <c r="AB179" s="1513"/>
    </row>
    <row r="180" spans="2:28" ht="15.75" outlineLevel="1">
      <c r="B180" s="1871"/>
      <c r="C180" s="1874"/>
      <c r="D180" s="163"/>
      <c r="E180" s="163"/>
      <c r="F180" s="163">
        <f t="shared" ref="F180" ca="1" si="267">IF(I180=0,2,F179+1)</f>
        <v>84</v>
      </c>
      <c r="G180" s="163" t="str" cm="1">
        <f t="array" aca="1" ref="G180" ca="1">INDEX( 'Eléments de constr. inté. et ex'!C:C, $F179)</f>
        <v>Porte bois</v>
      </c>
      <c r="H180" s="163" t="str" cm="1">
        <f t="array" aca="1" ref="H180" ca="1">INDEX( 'Eléments de constr. inté. et ex'!D:D, $F179)</f>
        <v>Porte intérieure, porte fonctionnelle, bois, cadre en bois</v>
      </c>
      <c r="I180" s="163" t="str" cm="1">
        <f t="array" aca="1" ref="I180" ca="1">INDEX( 'Eléments de constr. inté. et ex'!G:G, $F179)</f>
        <v>12.009</v>
      </c>
      <c r="J180" s="163" t="str">
        <f ca="1">_xlfn.XLOOKUP($I180,'Baumaterialien Matériaux'!A:A,'Baumaterialien Matériaux'!G:G,0,0)</f>
        <v>m2</v>
      </c>
      <c r="K180" s="262">
        <f ca="1">M180*$K$179</f>
        <v>0</v>
      </c>
      <c r="L180" s="163" cm="1">
        <f t="array" aca="1" ref="L180" ca="1">INDEX( 'Eléments de constr. inté. et ex'!J:J, $F179)</f>
        <v>30</v>
      </c>
      <c r="M180" s="1522" cm="1">
        <f t="array" aca="1" ref="M180" ca="1">INDEX( 'Eléments de constr. inté. et ex'!H:H, $F179)</f>
        <v>1</v>
      </c>
      <c r="N180" s="1627">
        <f>'Outil détaillé'!E$43</f>
        <v>0</v>
      </c>
      <c r="O180" s="1502" cm="1">
        <f t="array" aca="1" ref="O180" ca="1">IFERROR(INDEX('Eléments de constr. inté. et ex'!M:M, $F179)*$K180/$M180,0)/$I$1*(1-0.8*N180)</f>
        <v>0</v>
      </c>
      <c r="P180" s="1416">
        <f t="shared" ref="P180:Q181" ca="1" si="268">IF($L180=P$3,$O180+$S180,0)</f>
        <v>0</v>
      </c>
      <c r="Q180" s="1416">
        <f t="shared" ca="1" si="268"/>
        <v>0</v>
      </c>
      <c r="R180" s="256" cm="1">
        <f t="array" aca="1" ref="R180" ca="1">_xlfn.SWITCH(L180,R$3,O180+S180,P$3,P180,0)</f>
        <v>0</v>
      </c>
      <c r="S180" s="1410" cm="1">
        <f t="array" aca="1" ref="S180" ca="1">IFERROR(INDEX('Eléments de constr. inté. et ex'!N:N, $F179)*$K180/$M180,0)/$I$1*(1-0.8*N180)</f>
        <v>0</v>
      </c>
      <c r="T180" s="1411">
        <f t="shared" ref="T180:T181" ca="1" si="269">SUM(O180:S180)</f>
        <v>0</v>
      </c>
      <c r="U180" s="1530" cm="1">
        <f t="array" aca="1" ref="U180" ca="1">IFERROR(INDEX('Eléments de constr. inté. et ex'!O:O, $F179)*$K180/$M180,0)/$I$1*(1-0.8*N180)</f>
        <v>0</v>
      </c>
      <c r="V180" s="1502" cm="1">
        <f t="array" aca="1" ref="V180" ca="1">IFERROR(INDEX('Eléments de constr. inté. et ex'!K:K, $F179)*$K180/$M180,0)/$I$1*(1-0.8*N180)</f>
        <v>0</v>
      </c>
      <c r="W180" s="1416">
        <f t="shared" ref="W180:X181" ca="1" si="270">IF($L180=W$3,$V180+$Z180,0)</f>
        <v>0</v>
      </c>
      <c r="X180" s="1416">
        <f t="shared" ca="1" si="270"/>
        <v>0</v>
      </c>
      <c r="Y180" s="256" cm="1">
        <f t="array" aca="1" ref="Y180" ca="1">_xlfn.SWITCH(T180,Y$3,V180+Z180,W$3,W180,0)</f>
        <v>0</v>
      </c>
      <c r="Z180" s="1410" cm="1">
        <f t="array" aca="1" ref="Z180" ca="1">IFERROR(INDEX('Eléments de constr. inté. et ex'!L:L, $F179)*$K180/$M180,0)/$I$1*(1-0.8*N180)</f>
        <v>0</v>
      </c>
      <c r="AA180" s="1460">
        <f t="shared" ref="AA180:AA181" ca="1" si="271">SUM(V180:Z180)</f>
        <v>0</v>
      </c>
      <c r="AB180" s="1460"/>
    </row>
    <row r="181" spans="2:28" ht="15.75" outlineLevel="1">
      <c r="B181" s="1871"/>
      <c r="C181" s="1875"/>
      <c r="D181" s="163"/>
      <c r="E181" s="163"/>
      <c r="F181" s="163">
        <f t="shared" ref="F181" ca="1" si="272">IF(I181=0,2,F180+1)</f>
        <v>2</v>
      </c>
      <c r="G181" s="163" cm="1">
        <f t="array" aca="1" ref="G181" ca="1">INDEX( 'Eléments de constr. inté. et ex'!C:C, $F180)</f>
        <v>0</v>
      </c>
      <c r="H181" s="163" cm="1">
        <f t="array" aca="1" ref="H181" ca="1">INDEX( 'Eléments de constr. inté. et ex'!D:D, $F180)</f>
        <v>0</v>
      </c>
      <c r="I181" s="163" cm="1">
        <f t="array" aca="1" ref="I181" ca="1">INDEX( 'Eléments de constr. inté. et ex'!G:G, $F180)</f>
        <v>0</v>
      </c>
      <c r="J181" s="163">
        <f ca="1">_xlfn.XLOOKUP($I181,'Baumaterialien Matériaux'!A:A,'Baumaterialien Matériaux'!G:G,0,0)</f>
        <v>0</v>
      </c>
      <c r="K181" s="262">
        <f ca="1">M181*$K$179</f>
        <v>0</v>
      </c>
      <c r="L181" s="163" cm="1">
        <f t="array" aca="1" ref="L181" ca="1">INDEX( 'Eléments de constr. inté. et ex'!J:J, $F180)</f>
        <v>0</v>
      </c>
      <c r="M181" s="1522" cm="1">
        <f t="array" aca="1" ref="M181" ca="1">INDEX( 'Eléments de constr. inté. et ex'!H:H, $F180)</f>
        <v>0</v>
      </c>
      <c r="N181" s="1627">
        <f>'Outil détaillé'!E$43</f>
        <v>0</v>
      </c>
      <c r="O181" s="1502" cm="1">
        <f t="array" aca="1" ref="O181" ca="1">IFERROR(INDEX('Eléments de constr. inté. et ex'!M:M, $F180)*$K181/$M181,0)/$I$1*(1-0.8*N181)</f>
        <v>0</v>
      </c>
      <c r="P181" s="1416">
        <f t="shared" ca="1" si="268"/>
        <v>0</v>
      </c>
      <c r="Q181" s="1416">
        <f t="shared" ca="1" si="268"/>
        <v>0</v>
      </c>
      <c r="R181" s="256" cm="1">
        <f t="array" aca="1" ref="R181" ca="1">_xlfn.SWITCH(L181,R$3,O181+S181,P$3,P181,0)</f>
        <v>0</v>
      </c>
      <c r="S181" s="1410" cm="1">
        <f t="array" aca="1" ref="S181" ca="1">IFERROR(INDEX('Eléments de constr. inté. et ex'!N:N, $F180)*$K181/$M181,0)/$I$1*(1-0.8*N181)</f>
        <v>0</v>
      </c>
      <c r="T181" s="1411">
        <f t="shared" ca="1" si="269"/>
        <v>0</v>
      </c>
      <c r="U181" s="1530" cm="1">
        <f t="array" aca="1" ref="U181" ca="1">IFERROR(INDEX('Eléments de constr. inté. et ex'!O:O, $F180)*$K181/$M181,0)/$I$1*(1-0.8*N181)</f>
        <v>0</v>
      </c>
      <c r="V181" s="1502" cm="1">
        <f t="array" aca="1" ref="V181" ca="1">IFERROR(INDEX('Eléments de constr. inté. et ex'!K:K, $F180)*$K181/$M181,0)/$I$1*(1-0.8*N181)</f>
        <v>0</v>
      </c>
      <c r="W181" s="1416">
        <f t="shared" ca="1" si="270"/>
        <v>0</v>
      </c>
      <c r="X181" s="1416">
        <f t="shared" ca="1" si="270"/>
        <v>0</v>
      </c>
      <c r="Y181" s="256" cm="1">
        <f t="array" aca="1" ref="Y181" ca="1">_xlfn.SWITCH(T181,Y$3,V181+Z181,W$3,W181,0)</f>
        <v>0</v>
      </c>
      <c r="Z181" s="1410" cm="1">
        <f t="array" aca="1" ref="Z181" ca="1">IFERROR(INDEX('Eléments de constr. inté. et ex'!L:L, $F180)*$K181/$M181,0)/$I$1*(1-0.8*N181)</f>
        <v>0</v>
      </c>
      <c r="AA181" s="1460">
        <f t="shared" ca="1" si="271"/>
        <v>0</v>
      </c>
      <c r="AB181" s="1460"/>
    </row>
    <row r="182" spans="2:28" ht="15.75">
      <c r="B182" s="1871"/>
      <c r="C182" s="1873" t="str">
        <f>'Outil détaillé'!C44</f>
        <v>G02</v>
      </c>
      <c r="D182" s="162" t="str">
        <f>'Outil détaillé'!D44</f>
        <v>Revetements de sols</v>
      </c>
      <c r="E182" s="162"/>
      <c r="F182" s="162">
        <f>MATCH(D182, 'Eléments de constr. inté. et ex'!B:B,0)</f>
        <v>87</v>
      </c>
      <c r="G182" s="162"/>
      <c r="H182" s="162"/>
      <c r="I182" s="162"/>
      <c r="J182" s="162"/>
      <c r="K182" s="265"/>
      <c r="L182" s="264"/>
      <c r="M182" s="1523"/>
      <c r="N182" s="1628"/>
      <c r="O182" s="1503">
        <f t="shared" ref="O182:U182" ca="1" si="273">O183+O197+O211+O229+O192+O206+O220+O225</f>
        <v>35.784399999999998</v>
      </c>
      <c r="P182" s="1504">
        <f t="shared" ca="1" si="273"/>
        <v>0</v>
      </c>
      <c r="Q182" s="1504">
        <f t="shared" ca="1" si="273"/>
        <v>40.047200000000004</v>
      </c>
      <c r="R182" s="1504">
        <f t="shared" ca="1" si="273"/>
        <v>0</v>
      </c>
      <c r="S182" s="1504">
        <f t="shared" ca="1" si="273"/>
        <v>4.2628000000000004</v>
      </c>
      <c r="T182" s="1504">
        <f t="shared" ca="1" si="273"/>
        <v>80.094399999999993</v>
      </c>
      <c r="U182" s="1505">
        <f t="shared" ca="1" si="273"/>
        <v>6.9043333333333337</v>
      </c>
      <c r="V182" s="1503">
        <f t="shared" ref="V182" ca="1" si="274">V183+V197+V211+V229+V192+V206+V220+V225</f>
        <v>128.45850000000002</v>
      </c>
      <c r="W182" s="1504">
        <f t="shared" ref="W182:Z182" ca="1" si="275">W183+W197+W211+W229+W192+W206+W220+W225</f>
        <v>0</v>
      </c>
      <c r="X182" s="1504">
        <f t="shared" ca="1" si="275"/>
        <v>142.31586999999999</v>
      </c>
      <c r="Y182" s="1504">
        <f t="shared" ca="1" si="275"/>
        <v>0</v>
      </c>
      <c r="Z182" s="1504">
        <f t="shared" ca="1" si="275"/>
        <v>13.857370000000001</v>
      </c>
      <c r="AA182" s="1505">
        <f t="shared" ref="AA182" ca="1" si="276">AA183+AA197+AA211+AA229+AA192+AA206+AA220+AA225</f>
        <v>284.63173999999998</v>
      </c>
      <c r="AB182" s="1505"/>
    </row>
    <row r="183" spans="2:28" ht="15.75">
      <c r="B183" s="1871"/>
      <c r="C183" s="1874"/>
      <c r="D183" s="163" t="s">
        <v>443</v>
      </c>
      <c r="E183" s="164" t="str">
        <f>'Outil détaillé'!F45</f>
        <v xml:space="preserve">Revêtement de sol fini mixte </v>
      </c>
      <c r="F183" s="801">
        <f ca="1">MATCH(E183, INDIRECT("'Eléments de constr. inté. et ex'!A"&amp;F182+1&amp;":A500"),0)+F182</f>
        <v>101</v>
      </c>
      <c r="G183" s="164"/>
      <c r="H183" s="164"/>
      <c r="I183" s="164"/>
      <c r="J183" s="164" t="s">
        <v>87</v>
      </c>
      <c r="K183" s="270">
        <f>'Outil détaillé'!K45</f>
        <v>80</v>
      </c>
      <c r="L183" s="271"/>
      <c r="M183" s="1467"/>
      <c r="N183" s="1623"/>
      <c r="O183" s="1488">
        <f ca="1">SUM(O184:O191)</f>
        <v>7.1083500000000006</v>
      </c>
      <c r="P183" s="1489">
        <f t="shared" ref="P183:T183" ca="1" si="277">SUM(P184:P191)</f>
        <v>0</v>
      </c>
      <c r="Q183" s="1489">
        <f t="shared" ca="1" si="277"/>
        <v>7.933015000000001</v>
      </c>
      <c r="R183" s="1489">
        <f t="shared" ca="1" si="277"/>
        <v>0</v>
      </c>
      <c r="S183" s="1489">
        <f t="shared" ca="1" si="277"/>
        <v>0.82466500000000009</v>
      </c>
      <c r="T183" s="1489">
        <f t="shared" ca="1" si="277"/>
        <v>15.866030000000002</v>
      </c>
      <c r="U183" s="1490">
        <f ca="1">SUM(U184:U191)</f>
        <v>3.4521666666666668</v>
      </c>
      <c r="V183" s="1488">
        <f ca="1">SUM(V184:V191)</f>
        <v>35.831500000000005</v>
      </c>
      <c r="W183" s="1489">
        <f t="shared" ref="W183:Z183" ca="1" si="278">SUM(W184:W191)</f>
        <v>0</v>
      </c>
      <c r="X183" s="1489">
        <f t="shared" ca="1" si="278"/>
        <v>38.700260000000007</v>
      </c>
      <c r="Y183" s="1489">
        <f t="shared" ca="1" si="278"/>
        <v>0</v>
      </c>
      <c r="Z183" s="1489">
        <f t="shared" ca="1" si="278"/>
        <v>2.86876</v>
      </c>
      <c r="AA183" s="1490">
        <f t="shared" ref="AA183" ca="1" si="279">SUM(AA184:AA191)</f>
        <v>77.400520000000014</v>
      </c>
      <c r="AB183" s="1490"/>
    </row>
    <row r="184" spans="2:28" ht="15.75" outlineLevel="1">
      <c r="B184" s="1871"/>
      <c r="C184" s="1874"/>
      <c r="D184" s="163"/>
      <c r="E184" s="282"/>
      <c r="F184" s="163">
        <f t="shared" ref="F184" ca="1" si="280">IF(I184=0,2,F183+1)</f>
        <v>102</v>
      </c>
      <c r="G184" s="163" t="str" cm="1">
        <f t="array" aca="1" ref="G184" ca="1">INDEX( 'Eléments de constr. inté. et ex'!C:C, $F183)</f>
        <v>Parkett 2-Schicht werkversiegelt, 11 mm [m2]</v>
      </c>
      <c r="H184" s="163" t="str" cm="1">
        <f t="array" aca="1" ref="H184" ca="1">INDEX( 'Eléments de constr. inté. et ex'!D:D, $F183)</f>
        <v>Parquet, 2 plis, vitrifié d'usine, 11 mm</v>
      </c>
      <c r="I184" s="163" t="str" cm="1">
        <f t="array" aca="1" ref="I184" ca="1">INDEX( 'Eléments de constr. inté. et ex'!G:G, $F183)</f>
        <v>11.018</v>
      </c>
      <c r="J184" s="163" t="str">
        <f ca="1">_xlfn.XLOOKUP($I184,'Baumaterialien Matériaux'!A:A,'Baumaterialien Matériaux'!G:G,0,0)</f>
        <v>m2</v>
      </c>
      <c r="K184" s="262">
        <f ca="1">M184*$K$183</f>
        <v>56</v>
      </c>
      <c r="L184" s="163" cm="1">
        <f t="array" aca="1" ref="L184" ca="1">INDEX( 'Eléments de constr. inté. et ex'!J:J, $F183)</f>
        <v>30</v>
      </c>
      <c r="M184" s="1522" cm="1">
        <f t="array" aca="1" ref="M184" ca="1">INDEX( 'Eléments de constr. inté. et ex'!H:H, $F183)</f>
        <v>0.7</v>
      </c>
      <c r="N184" s="1627">
        <f>'Outil détaillé'!E$45</f>
        <v>0</v>
      </c>
      <c r="O184" s="1502" cm="1">
        <f t="array" aca="1" ref="O184" ca="1">IFERROR(INDEX('Eléments de constr. inté. et ex'!M:M, $F183)*$K184/$M184,0)/$I$1*(1-0.8*N184)</f>
        <v>2.6144999999999996</v>
      </c>
      <c r="P184" s="1416">
        <f t="shared" ref="P184:Q232" ca="1" si="281">IF($L184=P$3,$O184+$S184,0)</f>
        <v>0</v>
      </c>
      <c r="Q184" s="1416">
        <f t="shared" ca="1" si="281"/>
        <v>2.7324499999999996</v>
      </c>
      <c r="R184" s="256" cm="1">
        <f t="array" aca="1" ref="R184" ca="1">_xlfn.SWITCH(L184,R$3,O184+S184,P$3,P184,0)</f>
        <v>0</v>
      </c>
      <c r="S184" s="1410" cm="1">
        <f t="array" aca="1" ref="S184" ca="1">IFERROR(INDEX('Eléments de constr. inté. et ex'!N:N, $F183)*$K184/$M184,0)/$I$1*(1-0.8*N184)</f>
        <v>0.11795</v>
      </c>
      <c r="T184" s="1411">
        <f t="shared" ref="T184:T185" ca="1" si="282">SUM(O184:S184)</f>
        <v>5.4649000000000001</v>
      </c>
      <c r="U184" s="1530" cm="1">
        <f t="array" aca="1" ref="U184" ca="1">IFERROR(INDEX('Eléments de constr. inté. et ex'!O:O, $F183)*$K184/$M184,0)/$I$1*(1-0.8*N184)</f>
        <v>3.4521666666666668</v>
      </c>
      <c r="V184" s="1502" cm="1">
        <f t="array" aca="1" ref="V184" ca="1">IFERROR(INDEX('Eléments de constr. inté. et ex'!K:K, $F183)*$K184/$M184,0)/$I$1*(1-0.8*N184)</f>
        <v>14.595000000000002</v>
      </c>
      <c r="W184" s="1416">
        <f t="shared" ref="W184:X232" ca="1" si="283">IF($L184=W$3,$V184+$Z184,0)</f>
        <v>0</v>
      </c>
      <c r="X184" s="1416">
        <f t="shared" ca="1" si="283"/>
        <v>14.792050000000003</v>
      </c>
      <c r="Y184" s="256" cm="1">
        <f t="array" aca="1" ref="Y184" ca="1">_xlfn.SWITCH(T184,Y$3,V184+Z184,W$3,W184,0)</f>
        <v>0</v>
      </c>
      <c r="Z184" s="1410" cm="1">
        <f t="array" aca="1" ref="Z184" ca="1">IFERROR(INDEX('Eléments de constr. inté. et ex'!L:L, $F183)*$K184/$M184,0)/$I$1*(1-0.8*N184)</f>
        <v>0.19705</v>
      </c>
      <c r="AA184" s="1460">
        <f t="shared" ref="AA184:AA185" ca="1" si="284">SUM(V184:Z184)</f>
        <v>29.584100000000007</v>
      </c>
      <c r="AB184" s="1460"/>
    </row>
    <row r="185" spans="2:28" ht="15.75" outlineLevel="1">
      <c r="B185" s="1871"/>
      <c r="C185" s="1874"/>
      <c r="D185" s="163"/>
      <c r="E185" s="282"/>
      <c r="F185" s="163">
        <f t="shared" ref="F185:F190" ca="1" si="285">IF(I185=0,2,F184+1)</f>
        <v>103</v>
      </c>
      <c r="G185" s="163" t="str" cm="1">
        <f t="array" aca="1" ref="G185" ca="1">INDEX( 'Eléments de constr. inté. et ex'!C:C, $F184)</f>
        <v>Klebstoff [kg]</v>
      </c>
      <c r="H185" s="163" t="str" cm="1">
        <f t="array" aca="1" ref="H185" ca="1">INDEX( 'Eléments de constr. inté. et ex'!D:D, $F184)</f>
        <v>Colle bicomposant</v>
      </c>
      <c r="I185" s="163" t="str" cm="1">
        <f t="array" aca="1" ref="I185" ca="1">INDEX( 'Eléments de constr. inté. et ex'!G:G, $F184)</f>
        <v>08.001</v>
      </c>
      <c r="J185" s="163" t="str">
        <f ca="1">_xlfn.XLOOKUP($I185,'Baumaterialien Matériaux'!A:A,'Baumaterialien Matériaux'!G:G,0,0)</f>
        <v>kg</v>
      </c>
      <c r="K185" s="262">
        <f t="shared" ref="K185:K191" ca="1" si="286">M185*$K$183</f>
        <v>56</v>
      </c>
      <c r="L185" s="163" cm="1">
        <f t="array" aca="1" ref="L185" ca="1">INDEX( 'Eléments de constr. inté. et ex'!J:J, $F184)</f>
        <v>30</v>
      </c>
      <c r="M185" s="1522" cm="1">
        <f t="array" aca="1" ref="M185" ca="1">INDEX( 'Eléments de constr. inté. et ex'!H:H, $F184)</f>
        <v>0.7</v>
      </c>
      <c r="N185" s="1627">
        <f>'Outil détaillé'!E$45</f>
        <v>0</v>
      </c>
      <c r="O185" s="1502" cm="1">
        <f t="array" aca="1" ref="O185" ca="1">IFERROR(INDEX('Eléments de constr. inté. et ex'!M:M, $F184)*$K185/$M185,0)/$I$1*(1-0.8*N185)</f>
        <v>1.6275000000000002</v>
      </c>
      <c r="P185" s="1416">
        <f t="shared" ca="1" si="281"/>
        <v>0</v>
      </c>
      <c r="Q185" s="1416">
        <f t="shared" ca="1" si="281"/>
        <v>1.6929500000000002</v>
      </c>
      <c r="R185" s="256" cm="1">
        <f t="array" aca="1" ref="R185" ca="1">_xlfn.SWITCH(L185,R$3,O185+S185,P$3,P185,0)</f>
        <v>0</v>
      </c>
      <c r="S185" s="1410" cm="1">
        <f t="array" aca="1" ref="S185" ca="1">IFERROR(INDEX('Eléments de constr. inté. et ex'!N:N, $F184)*$K185/$M185,0)/$I$1*(1-0.8*N185)</f>
        <v>6.5449999999999994E-2</v>
      </c>
      <c r="T185" s="1411">
        <f t="shared" ca="1" si="282"/>
        <v>3.3858999999999999</v>
      </c>
      <c r="U185" s="1530" cm="1">
        <f t="array" aca="1" ref="U185" ca="1">IFERROR(INDEX('Eléments de constr. inté. et ex'!O:O, $F184)*$K185/$M185,0)/$I$1*(1-0.8*N185)</f>
        <v>0</v>
      </c>
      <c r="V185" s="1502" cm="1">
        <f t="array" aca="1" ref="V185" ca="1">IFERROR(INDEX('Eléments de constr. inté. et ex'!K:K, $F184)*$K185/$M185,0)/$I$1*(1-0.8*N185)</f>
        <v>8.4699999999999989</v>
      </c>
      <c r="W185" s="1416">
        <f t="shared" ca="1" si="283"/>
        <v>0</v>
      </c>
      <c r="X185" s="1416">
        <f t="shared" ca="1" si="283"/>
        <v>8.4895299999999985</v>
      </c>
      <c r="Y185" s="256" cm="1">
        <f t="array" aca="1" ref="Y185" ca="1">_xlfn.SWITCH(T185,Y$3,V185+Z185,W$3,W185,0)</f>
        <v>0</v>
      </c>
      <c r="Z185" s="1410" cm="1">
        <f t="array" aca="1" ref="Z185" ca="1">IFERROR(INDEX('Eléments de constr. inté. et ex'!L:L, $F184)*$K185/$M185,0)/$I$1*(1-0.8*N185)</f>
        <v>1.9529999999999999E-2</v>
      </c>
      <c r="AA185" s="1460">
        <f t="shared" ca="1" si="284"/>
        <v>16.979059999999997</v>
      </c>
      <c r="AB185" s="1460"/>
    </row>
    <row r="186" spans="2:28" ht="15.75" outlineLevel="1">
      <c r="B186" s="1871"/>
      <c r="C186" s="1874"/>
      <c r="D186" s="163"/>
      <c r="E186" s="282"/>
      <c r="F186" s="163">
        <f t="shared" ca="1" si="285"/>
        <v>104</v>
      </c>
      <c r="G186" s="163" t="str" cm="1">
        <f t="array" aca="1" ref="G186" ca="1">INDEX( 'Eléments de constr. inté. et ex'!C:C, $F185)</f>
        <v>Keramikplatten 9mm [m2]</v>
      </c>
      <c r="H186" s="163" t="str" cm="1">
        <f t="array" aca="1" ref="H186" ca="1">INDEX( 'Eléments de constr. inté. et ex'!D:D, $F185)</f>
        <v>Dalle en céramique/grès, 9 mm</v>
      </c>
      <c r="I186" s="163" t="str" cm="1">
        <f t="array" aca="1" ref="I186" ca="1">INDEX( 'Eléments de constr. inté. et ex'!G:G, $F185)</f>
        <v>11.008</v>
      </c>
      <c r="J186" s="163" t="str">
        <f ca="1">_xlfn.XLOOKUP($I186,'Baumaterialien Matériaux'!A:A,'Baumaterialien Matériaux'!G:G,0,0)</f>
        <v>m2</v>
      </c>
      <c r="K186" s="262">
        <f t="shared" ca="1" si="286"/>
        <v>24</v>
      </c>
      <c r="L186" s="163" cm="1">
        <f t="array" aca="1" ref="L186" ca="1">INDEX( 'Eléments de constr. inté. et ex'!J:J, $F185)</f>
        <v>30</v>
      </c>
      <c r="M186" s="1522" cm="1">
        <f t="array" aca="1" ref="M186" ca="1">INDEX( 'Eléments de constr. inté. et ex'!H:H, $F185)</f>
        <v>0.3</v>
      </c>
      <c r="N186" s="1627">
        <f>'Outil détaillé'!E$45</f>
        <v>0</v>
      </c>
      <c r="O186" s="1502" cm="1">
        <f t="array" aca="1" ref="O186" ca="1">IFERROR(INDEX('Eléments de constr. inté. et ex'!M:M, $F185)*$K186/$M186,0)/$I$1*(1-0.8*N186)</f>
        <v>2.1000000000000005</v>
      </c>
      <c r="P186" s="1416">
        <f t="shared" ca="1" si="281"/>
        <v>0</v>
      </c>
      <c r="Q186" s="1416">
        <f t="shared" ca="1" si="281"/>
        <v>2.7165000000000008</v>
      </c>
      <c r="R186" s="256" cm="1">
        <f t="array" aca="1" ref="R186" ca="1">_xlfn.SWITCH(L186,R$3,O186+S186,P$3,P186,0)</f>
        <v>0</v>
      </c>
      <c r="S186" s="1410" cm="1">
        <f t="array" aca="1" ref="S186" ca="1">IFERROR(INDEX('Eléments de constr. inté. et ex'!N:N, $F185)*$K186/$M186,0)/$I$1*(1-0.8*N186)</f>
        <v>0.61650000000000005</v>
      </c>
      <c r="T186" s="1411">
        <f t="shared" ref="T186:T191" ca="1" si="287">SUM(O186:S186)</f>
        <v>5.4330000000000016</v>
      </c>
      <c r="U186" s="1530" cm="1">
        <f t="array" aca="1" ref="U186" ca="1">IFERROR(INDEX('Eléments de constr. inté. et ex'!O:O, $F185)*$K186/$M186,0)/$I$1*(1-0.8*N186)</f>
        <v>0</v>
      </c>
      <c r="V186" s="1502" cm="1">
        <f t="array" aca="1" ref="V186" ca="1">IFERROR(INDEX('Eléments de constr. inté. et ex'!K:K, $F185)*$K186/$M186,0)/$I$1*(1-0.8*N186)</f>
        <v>9.9000000000000021</v>
      </c>
      <c r="W186" s="1416">
        <f t="shared" ca="1" si="283"/>
        <v>0</v>
      </c>
      <c r="X186" s="1416">
        <f t="shared" ca="1" si="283"/>
        <v>12.450000000000003</v>
      </c>
      <c r="Y186" s="256" cm="1">
        <f t="array" aca="1" ref="Y186" ca="1">_xlfn.SWITCH(T186,Y$3,V186+Z186,W$3,W186,0)</f>
        <v>0</v>
      </c>
      <c r="Z186" s="1410" cm="1">
        <f t="array" aca="1" ref="Z186" ca="1">IFERROR(INDEX('Eléments de constr. inté. et ex'!L:L, $F185)*$K186/$M186,0)/$I$1*(1-0.8*N186)</f>
        <v>2.5499999999999998</v>
      </c>
      <c r="AA186" s="1460">
        <f t="shared" ref="AA186:AA191" ca="1" si="288">SUM(V186:Z186)</f>
        <v>24.900000000000006</v>
      </c>
      <c r="AB186" s="1460"/>
    </row>
    <row r="187" spans="2:28" ht="15.75" outlineLevel="1">
      <c r="B187" s="1871"/>
      <c r="C187" s="1874"/>
      <c r="D187" s="163"/>
      <c r="E187" s="282"/>
      <c r="F187" s="163">
        <f t="shared" ca="1" si="285"/>
        <v>105</v>
      </c>
      <c r="G187" s="163" t="str" cm="1">
        <f t="array" aca="1" ref="G187" ca="1">INDEX( 'Eléments de constr. inté. et ex'!C:C, $F186)</f>
        <v>Klebemörtel [kg]</v>
      </c>
      <c r="H187" s="163" t="str" cm="1">
        <f t="array" aca="1" ref="H187" ca="1">INDEX( 'Eléments de constr. inté. et ex'!D:D, $F186)</f>
        <v xml:space="preserve">Colle de construction/mortier d'enrobage minéral(e) </v>
      </c>
      <c r="I187" s="163" t="str" cm="1">
        <f t="array" aca="1" ref="I187" ca="1">INDEX( 'Eléments de constr. inté. et ex'!G:G, $F186)</f>
        <v>04.008</v>
      </c>
      <c r="J187" s="163" t="str">
        <f ca="1">_xlfn.XLOOKUP($I187,'Baumaterialien Matériaux'!A:A,'Baumaterialien Matériaux'!G:G,0,0)</f>
        <v>kg</v>
      </c>
      <c r="K187" s="262">
        <f t="shared" ca="1" si="286"/>
        <v>312</v>
      </c>
      <c r="L187" s="163" cm="1">
        <f t="array" aca="1" ref="L187" ca="1">INDEX( 'Eléments de constr. inté. et ex'!J:J, $F186)</f>
        <v>30</v>
      </c>
      <c r="M187" s="1522" cm="1">
        <f t="array" aca="1" ref="M187" ca="1">INDEX( 'Eléments de constr. inté. et ex'!H:H, $F186)</f>
        <v>3.9</v>
      </c>
      <c r="N187" s="1627">
        <f>'Outil détaillé'!E$45</f>
        <v>0</v>
      </c>
      <c r="O187" s="1502" cm="1">
        <f t="array" aca="1" ref="O187" ca="1">IFERROR(INDEX('Eléments de constr. inté. et ex'!M:M, $F186)*$K187/$M187,0)/$I$1*(1-0.8*N187)</f>
        <v>0.76634999999999998</v>
      </c>
      <c r="P187" s="1416">
        <f t="shared" ca="1" si="281"/>
        <v>0</v>
      </c>
      <c r="Q187" s="1416">
        <f t="shared" ca="1" si="281"/>
        <v>0.79111500000000001</v>
      </c>
      <c r="R187" s="256" cm="1">
        <f t="array" aca="1" ref="R187" ca="1">_xlfn.SWITCH(L187,R$3,O187+S187,P$3,P187,0)</f>
        <v>0</v>
      </c>
      <c r="S187" s="1410" cm="1">
        <f t="array" aca="1" ref="S187" ca="1">IFERROR(INDEX('Eléments de constr. inté. et ex'!N:N, $F186)*$K187/$M187,0)/$I$1*(1-0.8*N187)</f>
        <v>2.4765000000000002E-2</v>
      </c>
      <c r="T187" s="1411">
        <f t="shared" ca="1" si="287"/>
        <v>1.58223</v>
      </c>
      <c r="U187" s="1530" cm="1">
        <f t="array" aca="1" ref="U187" ca="1">IFERROR(INDEX('Eléments de constr. inté. et ex'!O:O, $F186)*$K187/$M187,0)/$I$1*(1-0.8*N187)</f>
        <v>0</v>
      </c>
      <c r="V187" s="1502" cm="1">
        <f t="array" aca="1" ref="V187" ca="1">IFERROR(INDEX('Eléments de constr. inté. et ex'!K:K, $F186)*$K187/$M187,0)/$I$1*(1-0.8*N187)</f>
        <v>2.8664999999999998</v>
      </c>
      <c r="W187" s="1416">
        <f t="shared" ca="1" si="283"/>
        <v>0</v>
      </c>
      <c r="X187" s="1416">
        <f t="shared" ca="1" si="283"/>
        <v>2.96868</v>
      </c>
      <c r="Y187" s="256" cm="1">
        <f t="array" aca="1" ref="Y187" ca="1">_xlfn.SWITCH(T187,Y$3,V187+Z187,W$3,W187,0)</f>
        <v>0</v>
      </c>
      <c r="Z187" s="1410" cm="1">
        <f t="array" aca="1" ref="Z187" ca="1">IFERROR(INDEX('Eléments de constr. inté. et ex'!L:L, $F186)*$K187/$M187,0)/$I$1*(1-0.8*N187)</f>
        <v>0.10218000000000001</v>
      </c>
      <c r="AA187" s="1460">
        <f t="shared" ca="1" si="288"/>
        <v>5.9373599999999991</v>
      </c>
      <c r="AB187" s="1460"/>
    </row>
    <row r="188" spans="2:28" ht="15.75" outlineLevel="1">
      <c r="B188" s="1871"/>
      <c r="C188" s="1874"/>
      <c r="D188" s="163"/>
      <c r="E188" s="163"/>
      <c r="F188" s="163">
        <f t="shared" ca="1" si="285"/>
        <v>2</v>
      </c>
      <c r="G188" s="163" cm="1">
        <f t="array" aca="1" ref="G188" ca="1">INDEX( 'Eléments de constr. inté. et ex'!C:C, $F187)</f>
        <v>0</v>
      </c>
      <c r="H188" s="163" cm="1">
        <f t="array" aca="1" ref="H188" ca="1">INDEX( 'Eléments de constr. inté. et ex'!D:D, $F187)</f>
        <v>0</v>
      </c>
      <c r="I188" s="163" cm="1">
        <f t="array" aca="1" ref="I188" ca="1">INDEX( 'Eléments de constr. inté. et ex'!G:G, $F187)</f>
        <v>0</v>
      </c>
      <c r="J188" s="163">
        <f ca="1">_xlfn.XLOOKUP($I188,'Baumaterialien Matériaux'!A:A,'Baumaterialien Matériaux'!G:G,0,0)</f>
        <v>0</v>
      </c>
      <c r="K188" s="262">
        <f t="shared" ca="1" si="286"/>
        <v>0</v>
      </c>
      <c r="L188" s="163" cm="1">
        <f t="array" aca="1" ref="L188" ca="1">INDEX( 'Eléments de constr. inté. et ex'!J:J, $F187)</f>
        <v>0</v>
      </c>
      <c r="M188" s="1522" cm="1">
        <f t="array" aca="1" ref="M188" ca="1">INDEX( 'Eléments de constr. inté. et ex'!H:H, $F187)</f>
        <v>0</v>
      </c>
      <c r="N188" s="1627">
        <f>'Outil détaillé'!E$45</f>
        <v>0</v>
      </c>
      <c r="O188" s="1502" cm="1">
        <f t="array" aca="1" ref="O188" ca="1">IFERROR(INDEX('Eléments de constr. inté. et ex'!M:M, $F187)*$K188/$M188,0)/$I$1*(1-0.8*N188)</f>
        <v>0</v>
      </c>
      <c r="P188" s="1416">
        <f t="shared" ca="1" si="281"/>
        <v>0</v>
      </c>
      <c r="Q188" s="1416">
        <f t="shared" ca="1" si="281"/>
        <v>0</v>
      </c>
      <c r="R188" s="256" cm="1">
        <f t="array" aca="1" ref="R188" ca="1">_xlfn.SWITCH(L188,R$3,O188+S188,P$3,P188,0)</f>
        <v>0</v>
      </c>
      <c r="S188" s="1410" cm="1">
        <f t="array" aca="1" ref="S188" ca="1">IFERROR(INDEX('Eléments de constr. inté. et ex'!N:N, $F187)*$K188/$M188,0)/$I$1*(1-0.8*N188)</f>
        <v>0</v>
      </c>
      <c r="T188" s="1411">
        <f t="shared" ca="1" si="287"/>
        <v>0</v>
      </c>
      <c r="U188" s="1530" cm="1">
        <f t="array" aca="1" ref="U188" ca="1">IFERROR(INDEX('Eléments de constr. inté. et ex'!O:O, $F187)*$K188/$M188,0)/$I$1*(1-0.8*N188)</f>
        <v>0</v>
      </c>
      <c r="V188" s="1502" cm="1">
        <f t="array" aca="1" ref="V188" ca="1">IFERROR(INDEX('Eléments de constr. inté. et ex'!K:K, $F187)*$K188/$M188,0)/$I$1*(1-0.8*N188)</f>
        <v>0</v>
      </c>
      <c r="W188" s="1416">
        <f t="shared" ca="1" si="283"/>
        <v>0</v>
      </c>
      <c r="X188" s="1416">
        <f t="shared" ca="1" si="283"/>
        <v>0</v>
      </c>
      <c r="Y188" s="256" cm="1">
        <f t="array" aca="1" ref="Y188" ca="1">_xlfn.SWITCH(T188,Y$3,V188+Z188,W$3,W188,0)</f>
        <v>0</v>
      </c>
      <c r="Z188" s="1410" cm="1">
        <f t="array" aca="1" ref="Z188" ca="1">IFERROR(INDEX('Eléments de constr. inté. et ex'!L:L, $F187)*$K188/$M188,0)/$I$1*(1-0.8*N188)</f>
        <v>0</v>
      </c>
      <c r="AA188" s="1460">
        <f t="shared" ca="1" si="288"/>
        <v>0</v>
      </c>
      <c r="AB188" s="1460"/>
    </row>
    <row r="189" spans="2:28" ht="15.75" outlineLevel="1">
      <c r="B189" s="1871"/>
      <c r="C189" s="1874"/>
      <c r="D189" s="163"/>
      <c r="E189" s="163"/>
      <c r="F189" s="163">
        <f t="shared" ca="1" si="285"/>
        <v>2</v>
      </c>
      <c r="G189" s="163" cm="1">
        <f t="array" aca="1" ref="G189" ca="1">INDEX( 'Eléments de constr. inté. et ex'!C:C, $F188)</f>
        <v>0</v>
      </c>
      <c r="H189" s="163" cm="1">
        <f t="array" aca="1" ref="H189" ca="1">INDEX( 'Eléments de constr. inté. et ex'!D:D, $F188)</f>
        <v>0</v>
      </c>
      <c r="I189" s="163" cm="1">
        <f t="array" aca="1" ref="I189" ca="1">INDEX( 'Eléments de constr. inté. et ex'!G:G, $F188)</f>
        <v>0</v>
      </c>
      <c r="J189" s="163">
        <f ca="1">_xlfn.XLOOKUP($I189,'Baumaterialien Matériaux'!A:A,'Baumaterialien Matériaux'!G:G,0,0)</f>
        <v>0</v>
      </c>
      <c r="K189" s="262">
        <f t="shared" ca="1" si="286"/>
        <v>0</v>
      </c>
      <c r="L189" s="163" cm="1">
        <f t="array" aca="1" ref="L189" ca="1">INDEX( 'Eléments de constr. inté. et ex'!J:J, $F188)</f>
        <v>0</v>
      </c>
      <c r="M189" s="1522" cm="1">
        <f t="array" aca="1" ref="M189" ca="1">INDEX( 'Eléments de constr. inté. et ex'!H:H, $F188)</f>
        <v>0</v>
      </c>
      <c r="N189" s="1627">
        <f>'Outil détaillé'!E$45</f>
        <v>0</v>
      </c>
      <c r="O189" s="1502" cm="1">
        <f t="array" aca="1" ref="O189" ca="1">IFERROR(INDEX('Eléments de constr. inté. et ex'!M:M, $F188)*$K189/$M189,0)/$I$1*(1-0.8*N189)</f>
        <v>0</v>
      </c>
      <c r="P189" s="1416">
        <f t="shared" ca="1" si="281"/>
        <v>0</v>
      </c>
      <c r="Q189" s="1416">
        <f t="shared" ca="1" si="281"/>
        <v>0</v>
      </c>
      <c r="R189" s="256" cm="1">
        <f t="array" aca="1" ref="R189" ca="1">_xlfn.SWITCH(L189,R$3,O189+S189,P$3,P189,0)</f>
        <v>0</v>
      </c>
      <c r="S189" s="1410" cm="1">
        <f t="array" aca="1" ref="S189" ca="1">IFERROR(INDEX('Eléments de constr. inté. et ex'!N:N, $F188)*$K189/$M189,0)/$I$1*(1-0.8*N189)</f>
        <v>0</v>
      </c>
      <c r="T189" s="1411">
        <f t="shared" ca="1" si="287"/>
        <v>0</v>
      </c>
      <c r="U189" s="1530" cm="1">
        <f t="array" aca="1" ref="U189" ca="1">IFERROR(INDEX('Eléments de constr. inté. et ex'!O:O, $F188)*$K189/$M189,0)/$I$1*(1-0.8*N189)</f>
        <v>0</v>
      </c>
      <c r="V189" s="1502" cm="1">
        <f t="array" aca="1" ref="V189" ca="1">IFERROR(INDEX('Eléments de constr. inté. et ex'!K:K, $F188)*$K189/$M189,0)/$I$1*(1-0.8*N189)</f>
        <v>0</v>
      </c>
      <c r="W189" s="1416">
        <f t="shared" ca="1" si="283"/>
        <v>0</v>
      </c>
      <c r="X189" s="1416">
        <f t="shared" ca="1" si="283"/>
        <v>0</v>
      </c>
      <c r="Y189" s="256" cm="1">
        <f t="array" aca="1" ref="Y189" ca="1">_xlfn.SWITCH(T189,Y$3,V189+Z189,W$3,W189,0)</f>
        <v>0</v>
      </c>
      <c r="Z189" s="1410" cm="1">
        <f t="array" aca="1" ref="Z189" ca="1">IFERROR(INDEX('Eléments de constr. inté. et ex'!L:L, $F188)*$K189/$M189,0)/$I$1*(1-0.8*N189)</f>
        <v>0</v>
      </c>
      <c r="AA189" s="1460">
        <f t="shared" ca="1" si="288"/>
        <v>0</v>
      </c>
      <c r="AB189" s="1460"/>
    </row>
    <row r="190" spans="2:28" ht="15.75" outlineLevel="1">
      <c r="B190" s="1871"/>
      <c r="C190" s="1874"/>
      <c r="D190" s="163"/>
      <c r="E190" s="163"/>
      <c r="F190" s="163">
        <f t="shared" ca="1" si="285"/>
        <v>2</v>
      </c>
      <c r="G190" s="163" cm="1">
        <f t="array" aca="1" ref="G190" ca="1">INDEX( 'Eléments de constr. inté. et ex'!C:C, $F189)</f>
        <v>0</v>
      </c>
      <c r="H190" s="163" cm="1">
        <f t="array" aca="1" ref="H190" ca="1">INDEX( 'Eléments de constr. inté. et ex'!D:D, $F189)</f>
        <v>0</v>
      </c>
      <c r="I190" s="163" cm="1">
        <f t="array" aca="1" ref="I190" ca="1">INDEX( 'Eléments de constr. inté. et ex'!G:G, $F189)</f>
        <v>0</v>
      </c>
      <c r="J190" s="163">
        <f ca="1">_xlfn.XLOOKUP($I190,'Baumaterialien Matériaux'!A:A,'Baumaterialien Matériaux'!G:G,0,0)</f>
        <v>0</v>
      </c>
      <c r="K190" s="262">
        <f t="shared" ca="1" si="286"/>
        <v>0</v>
      </c>
      <c r="L190" s="163" cm="1">
        <f t="array" aca="1" ref="L190" ca="1">INDEX( 'Eléments de constr. inté. et ex'!J:J, $F189)</f>
        <v>0</v>
      </c>
      <c r="M190" s="1522" cm="1">
        <f t="array" aca="1" ref="M190" ca="1">INDEX( 'Eléments de constr. inté. et ex'!H:H, $F189)</f>
        <v>0</v>
      </c>
      <c r="N190" s="1627">
        <f>'Outil détaillé'!E$45</f>
        <v>0</v>
      </c>
      <c r="O190" s="1502" cm="1">
        <f t="array" aca="1" ref="O190" ca="1">IFERROR(INDEX('Eléments de constr. inté. et ex'!M:M, $F189)*$K190/$M190,0)/$I$1*(1-0.8*N190)</f>
        <v>0</v>
      </c>
      <c r="P190" s="1416">
        <f t="shared" ca="1" si="281"/>
        <v>0</v>
      </c>
      <c r="Q190" s="1416">
        <f t="shared" ca="1" si="281"/>
        <v>0</v>
      </c>
      <c r="R190" s="256" cm="1">
        <f t="array" aca="1" ref="R190" ca="1">_xlfn.SWITCH(L190,R$3,O190+S190,P$3,P190,0)</f>
        <v>0</v>
      </c>
      <c r="S190" s="1410" cm="1">
        <f t="array" aca="1" ref="S190" ca="1">IFERROR(INDEX('Eléments de constr. inté. et ex'!N:N, $F189)*$K190/$M190,0)/$I$1*(1-0.8*N190)</f>
        <v>0</v>
      </c>
      <c r="T190" s="1411">
        <f t="shared" ca="1" si="287"/>
        <v>0</v>
      </c>
      <c r="U190" s="1530" cm="1">
        <f t="array" aca="1" ref="U190" ca="1">IFERROR(INDEX('Eléments de constr. inté. et ex'!O:O, $F189)*$K190/$M190,0)/$I$1*(1-0.8*N190)</f>
        <v>0</v>
      </c>
      <c r="V190" s="1502" cm="1">
        <f t="array" aca="1" ref="V190" ca="1">IFERROR(INDEX('Eléments de constr. inté. et ex'!K:K, $F189)*$K190/$M190,0)/$I$1*(1-0.8*N190)</f>
        <v>0</v>
      </c>
      <c r="W190" s="1416">
        <f t="shared" ca="1" si="283"/>
        <v>0</v>
      </c>
      <c r="X190" s="1416">
        <f t="shared" ca="1" si="283"/>
        <v>0</v>
      </c>
      <c r="Y190" s="256" cm="1">
        <f t="array" aca="1" ref="Y190" ca="1">_xlfn.SWITCH(T190,Y$3,V190+Z190,W$3,W190,0)</f>
        <v>0</v>
      </c>
      <c r="Z190" s="1410" cm="1">
        <f t="array" aca="1" ref="Z190" ca="1">IFERROR(INDEX('Eléments de constr. inté. et ex'!L:L, $F189)*$K190/$M190,0)/$I$1*(1-0.8*N190)</f>
        <v>0</v>
      </c>
      <c r="AA190" s="1460">
        <f t="shared" ca="1" si="288"/>
        <v>0</v>
      </c>
      <c r="AB190" s="1460"/>
    </row>
    <row r="191" spans="2:28" ht="15.75" outlineLevel="1">
      <c r="B191" s="1871"/>
      <c r="C191" s="1874"/>
      <c r="D191" s="163"/>
      <c r="E191" s="163"/>
      <c r="F191" s="163">
        <f t="shared" ref="F191" ca="1" si="289">IF(I191=0,2,F190+1)</f>
        <v>2</v>
      </c>
      <c r="G191" s="163" cm="1">
        <f t="array" aca="1" ref="G191" ca="1">INDEX( 'Eléments de constr. inté. et ex'!C:C, $F190)</f>
        <v>0</v>
      </c>
      <c r="H191" s="163" cm="1">
        <f t="array" aca="1" ref="H191" ca="1">INDEX( 'Eléments de constr. inté. et ex'!D:D, $F190)</f>
        <v>0</v>
      </c>
      <c r="I191" s="163" cm="1">
        <f t="array" aca="1" ref="I191" ca="1">INDEX( 'Eléments de constr. inté. et ex'!G:G, $F190)</f>
        <v>0</v>
      </c>
      <c r="J191" s="163">
        <f ca="1">_xlfn.XLOOKUP($I191,'Baumaterialien Matériaux'!A:A,'Baumaterialien Matériaux'!G:G,0,0)</f>
        <v>0</v>
      </c>
      <c r="K191" s="262">
        <f t="shared" ca="1" si="286"/>
        <v>0</v>
      </c>
      <c r="L191" s="163" cm="1">
        <f t="array" aca="1" ref="L191" ca="1">INDEX( 'Eléments de constr. inté. et ex'!J:J, $F190)</f>
        <v>0</v>
      </c>
      <c r="M191" s="1522" cm="1">
        <f t="array" aca="1" ref="M191" ca="1">INDEX( 'Eléments de constr. inté. et ex'!H:H, $F190)</f>
        <v>0</v>
      </c>
      <c r="N191" s="1627">
        <f>'Outil détaillé'!E$45</f>
        <v>0</v>
      </c>
      <c r="O191" s="1502" cm="1">
        <f t="array" aca="1" ref="O191" ca="1">IFERROR(INDEX('Eléments de constr. inté. et ex'!M:M, $F190)*$K191/$M191,0)/$I$1*(1-0.8*N191)</f>
        <v>0</v>
      </c>
      <c r="P191" s="1416">
        <f t="shared" ca="1" si="281"/>
        <v>0</v>
      </c>
      <c r="Q191" s="1416">
        <f t="shared" ca="1" si="281"/>
        <v>0</v>
      </c>
      <c r="R191" s="256" cm="1">
        <f t="array" aca="1" ref="R191" ca="1">_xlfn.SWITCH(L191,R$3,O191+S191,P$3,P191,0)</f>
        <v>0</v>
      </c>
      <c r="S191" s="1410" cm="1">
        <f t="array" aca="1" ref="S191" ca="1">IFERROR(INDEX('Eléments de constr. inté. et ex'!N:N, $F190)*$K191/$M191,0)/$I$1*(1-0.8*N191)</f>
        <v>0</v>
      </c>
      <c r="T191" s="1411">
        <f t="shared" ca="1" si="287"/>
        <v>0</v>
      </c>
      <c r="U191" s="1530" cm="1">
        <f t="array" aca="1" ref="U191" ca="1">IFERROR(INDEX('Eléments de constr. inté. et ex'!O:O, $F190)*$K191/$M191,0)/$I$1*(1-0.8*N191)</f>
        <v>0</v>
      </c>
      <c r="V191" s="1502" cm="1">
        <f t="array" aca="1" ref="V191" ca="1">IFERROR(INDEX('Eléments de constr. inté. et ex'!K:K, $F190)*$K191/$M191,0)/$I$1*(1-0.8*N191)</f>
        <v>0</v>
      </c>
      <c r="W191" s="1416">
        <f t="shared" ca="1" si="283"/>
        <v>0</v>
      </c>
      <c r="X191" s="1416">
        <f t="shared" ca="1" si="283"/>
        <v>0</v>
      </c>
      <c r="Y191" s="256" cm="1">
        <f t="array" aca="1" ref="Y191" ca="1">_xlfn.SWITCH(T191,Y$3,V191+Z191,W$3,W191,0)</f>
        <v>0</v>
      </c>
      <c r="Z191" s="1410" cm="1">
        <f t="array" aca="1" ref="Z191" ca="1">IFERROR(INDEX('Eléments de constr. inté. et ex'!L:L, $F190)*$K191/$M191,0)/$I$1*(1-0.8*N191)</f>
        <v>0</v>
      </c>
      <c r="AA191" s="1460">
        <f t="shared" ca="1" si="288"/>
        <v>0</v>
      </c>
      <c r="AB191" s="1460"/>
    </row>
    <row r="192" spans="2:28" ht="15.75" outlineLevel="1">
      <c r="B192" s="1871"/>
      <c r="C192" s="1874"/>
      <c r="D192" s="163" t="str">
        <f>'Outil détaillé'!D46</f>
        <v>Rez support</v>
      </c>
      <c r="E192" s="164" t="str">
        <f>'Outil détaillé'!F46</f>
        <v>Chape ciment</v>
      </c>
      <c r="F192" s="801">
        <f ca="1">MATCH(E192, INDIRECT("'Eléments de constr. inté. et ex'!A"&amp;F182+1&amp;":A500"),0)+F182</f>
        <v>108</v>
      </c>
      <c r="G192" s="164"/>
      <c r="H192" s="164"/>
      <c r="I192" s="164"/>
      <c r="J192" s="164" t="s">
        <v>87</v>
      </c>
      <c r="K192" s="270">
        <f>'Outil détaillé'!K46</f>
        <v>80</v>
      </c>
      <c r="L192" s="271"/>
      <c r="M192" s="1467"/>
      <c r="N192" s="1623"/>
      <c r="O192" s="1488">
        <f ca="1">SUM(O193:O196)</f>
        <v>6.9282500000000002</v>
      </c>
      <c r="P192" s="1489">
        <f t="shared" ref="P192:U192" ca="1" si="290">SUM(P193:P196)</f>
        <v>0</v>
      </c>
      <c r="Q192" s="1489">
        <f t="shared" ca="1" si="290"/>
        <v>7.7505750000000004</v>
      </c>
      <c r="R192" s="1489">
        <f t="shared" ca="1" si="290"/>
        <v>0</v>
      </c>
      <c r="S192" s="1489">
        <f t="shared" ca="1" si="290"/>
        <v>0.82232499999999997</v>
      </c>
      <c r="T192" s="1489">
        <f t="shared" ca="1" si="290"/>
        <v>15.501149999999999</v>
      </c>
      <c r="U192" s="1490">
        <f t="shared" ca="1" si="290"/>
        <v>0</v>
      </c>
      <c r="V192" s="1488">
        <f ca="1">SUM(V193:V196)</f>
        <v>11.590249999999999</v>
      </c>
      <c r="W192" s="1489">
        <f t="shared" ref="W192:Z192" ca="1" si="291">SUM(W193:W196)</f>
        <v>0</v>
      </c>
      <c r="X192" s="1489">
        <f t="shared" ca="1" si="291"/>
        <v>14.996099999999998</v>
      </c>
      <c r="Y192" s="1489">
        <f t="shared" ca="1" si="291"/>
        <v>0</v>
      </c>
      <c r="Z192" s="1489">
        <f t="shared" ca="1" si="291"/>
        <v>3.40585</v>
      </c>
      <c r="AA192" s="1490">
        <f t="shared" ref="AA192" ca="1" si="292">SUM(AA193:AA196)</f>
        <v>29.992199999999997</v>
      </c>
      <c r="AB192" s="1490"/>
    </row>
    <row r="193" spans="2:28" ht="15.75" outlineLevel="1">
      <c r="B193" s="1871"/>
      <c r="C193" s="1874"/>
      <c r="D193" s="163"/>
      <c r="E193" s="282"/>
      <c r="F193" s="163">
        <f t="shared" ref="F193:F196" ca="1" si="293">IF(I193=0,2,F192+1)</f>
        <v>109</v>
      </c>
      <c r="G193" s="163" t="str" cm="1">
        <f t="array" aca="1" ref="G193" ca="1">INDEX( 'Eléments de constr. inté. et ex'!C:C, $F192)</f>
        <v>Zementunterlagsboden 7cm [kg]</v>
      </c>
      <c r="H193" s="163" t="str" cm="1">
        <f t="array" aca="1" ref="H193" ca="1">INDEX( 'Eléments de constr. inté. et ex'!D:D, $F192)</f>
        <v>Chape de ciment, 85 mm</v>
      </c>
      <c r="I193" s="163" t="str" cm="1">
        <f t="array" aca="1" ref="I193" ca="1">INDEX( 'Eléments de constr. inté. et ex'!G:G, $F192)</f>
        <v>04.006</v>
      </c>
      <c r="J193" s="163" t="str">
        <f ca="1">_xlfn.XLOOKUP($I193,'Baumaterialien Matériaux'!A:A,'Baumaterialien Matériaux'!G:G,0,0)</f>
        <v>kg</v>
      </c>
      <c r="K193" s="262">
        <f ca="1">M193*$K$183</f>
        <v>10360</v>
      </c>
      <c r="L193" s="163" cm="1">
        <f t="array" aca="1" ref="L193" ca="1">INDEX( 'Eléments de constr. inté. et ex'!J:J, $F192)</f>
        <v>30</v>
      </c>
      <c r="M193" s="1522" cm="1">
        <f t="array" aca="1" ref="M193" ca="1">INDEX( 'Eléments de constr. inté. et ex'!H:H, $F192)</f>
        <v>129.5</v>
      </c>
      <c r="N193" s="1627">
        <f>'Outil détaillé'!E$46</f>
        <v>0</v>
      </c>
      <c r="O193" s="1502" cm="1">
        <f t="array" aca="1" ref="O193" ca="1">IFERROR(INDEX('Eléments de constr. inté. et ex'!M:M, $F192)*$K193/$M193,0)/$I$1*(1-0.8*N193)</f>
        <v>6.9282500000000002</v>
      </c>
      <c r="P193" s="1416">
        <f t="shared" ca="1" si="281"/>
        <v>0</v>
      </c>
      <c r="Q193" s="1416">
        <f t="shared" ca="1" si="281"/>
        <v>7.7505750000000004</v>
      </c>
      <c r="R193" s="256" cm="1">
        <f t="array" aca="1" ref="R193" ca="1">_xlfn.SWITCH(L193,R$3,O193+S193,P$3,P193,0)</f>
        <v>0</v>
      </c>
      <c r="S193" s="1410" cm="1">
        <f t="array" aca="1" ref="S193" ca="1">IFERROR(INDEX('Eléments de constr. inté. et ex'!N:N, $F192)*$K193/$M193,0)/$I$1*(1-0.8*N193)</f>
        <v>0.82232499999999997</v>
      </c>
      <c r="T193" s="1411">
        <f t="shared" ref="T193:T196" ca="1" si="294">SUM(O193:S193)</f>
        <v>15.501149999999999</v>
      </c>
      <c r="U193" s="1530" cm="1">
        <f t="array" aca="1" ref="U193" ca="1">IFERROR(INDEX('Eléments de constr. inté. et ex'!O:O, $F192)*$K193/$M193,0)/$I$1*(1-0.8*N193)</f>
        <v>0</v>
      </c>
      <c r="V193" s="1502" cm="1">
        <f t="array" aca="1" ref="V193" ca="1">IFERROR(INDEX('Eléments de constr. inté. et ex'!K:K, $F192)*$K193/$M193,0)/$I$1*(1-0.8*N193)</f>
        <v>11.590249999999999</v>
      </c>
      <c r="W193" s="1416">
        <f t="shared" ca="1" si="283"/>
        <v>0</v>
      </c>
      <c r="X193" s="1416">
        <f t="shared" ca="1" si="283"/>
        <v>14.996099999999998</v>
      </c>
      <c r="Y193" s="256" cm="1">
        <f t="array" aca="1" ref="Y193" ca="1">_xlfn.SWITCH(T193,Y$3,V193+Z193,W$3,W193,0)</f>
        <v>0</v>
      </c>
      <c r="Z193" s="1410" cm="1">
        <f t="array" aca="1" ref="Z193" ca="1">IFERROR(INDEX('Eléments de constr. inté. et ex'!L:L, $F192)*$K193/$M193,0)/$I$1*(1-0.8*N193)</f>
        <v>3.40585</v>
      </c>
      <c r="AA193" s="1460">
        <f t="shared" ref="AA193:AA196" ca="1" si="295">SUM(V193:Z193)</f>
        <v>29.992199999999997</v>
      </c>
      <c r="AB193" s="1460"/>
    </row>
    <row r="194" spans="2:28" ht="15.75" outlineLevel="1">
      <c r="B194" s="1871"/>
      <c r="C194" s="1874"/>
      <c r="D194" s="163"/>
      <c r="E194" s="282"/>
      <c r="F194" s="163">
        <f t="shared" ca="1" si="293"/>
        <v>2</v>
      </c>
      <c r="G194" s="163" cm="1">
        <f t="array" aca="1" ref="G194" ca="1">INDEX( 'Eléments de constr. inté. et ex'!C:C, $F193)</f>
        <v>0</v>
      </c>
      <c r="H194" s="163" cm="1">
        <f t="array" aca="1" ref="H194" ca="1">INDEX( 'Eléments de constr. inté. et ex'!D:D, $F193)</f>
        <v>0</v>
      </c>
      <c r="I194" s="163" cm="1">
        <f t="array" aca="1" ref="I194" ca="1">INDEX( 'Eléments de constr. inté. et ex'!G:G, $F193)</f>
        <v>0</v>
      </c>
      <c r="J194" s="163">
        <f ca="1">_xlfn.XLOOKUP($I194,'Baumaterialien Matériaux'!A:A,'Baumaterialien Matériaux'!G:G,0,0)</f>
        <v>0</v>
      </c>
      <c r="K194" s="262">
        <f t="shared" ref="K194:K196" ca="1" si="296">M194*$K$183</f>
        <v>0</v>
      </c>
      <c r="L194" s="163" cm="1">
        <f t="array" aca="1" ref="L194" ca="1">INDEX( 'Eléments de constr. inté. et ex'!J:J, $F193)</f>
        <v>0</v>
      </c>
      <c r="M194" s="1522" cm="1">
        <f t="array" aca="1" ref="M194" ca="1">INDEX( 'Eléments de constr. inté. et ex'!H:H, $F193)</f>
        <v>0</v>
      </c>
      <c r="N194" s="1627">
        <f>'Outil détaillé'!E$46</f>
        <v>0</v>
      </c>
      <c r="O194" s="1502" cm="1">
        <f t="array" aca="1" ref="O194" ca="1">IFERROR(INDEX('Eléments de constr. inté. et ex'!M:M, $F193)*$K194/$M194,0)/$I$1*(1-0.8*N194)</f>
        <v>0</v>
      </c>
      <c r="P194" s="1416">
        <f t="shared" ca="1" si="281"/>
        <v>0</v>
      </c>
      <c r="Q194" s="1416">
        <f t="shared" ca="1" si="281"/>
        <v>0</v>
      </c>
      <c r="R194" s="256" cm="1">
        <f t="array" aca="1" ref="R194" ca="1">_xlfn.SWITCH(L194,R$3,O194+S194,P$3,P194,0)</f>
        <v>0</v>
      </c>
      <c r="S194" s="1410" cm="1">
        <f t="array" aca="1" ref="S194" ca="1">IFERROR(INDEX('Eléments de constr. inté. et ex'!N:N, $F193)*$K194/$M194,0)/$I$1*(1-0.8*N194)</f>
        <v>0</v>
      </c>
      <c r="T194" s="1411">
        <f t="shared" ca="1" si="294"/>
        <v>0</v>
      </c>
      <c r="U194" s="1530" cm="1">
        <f t="array" aca="1" ref="U194" ca="1">IFERROR(INDEX('Eléments de constr. inté. et ex'!O:O, $F193)*$K194/$M194,0)/$I$1*(1-0.8*N194)</f>
        <v>0</v>
      </c>
      <c r="V194" s="1502" cm="1">
        <f t="array" aca="1" ref="V194" ca="1">IFERROR(INDEX('Eléments de constr. inté. et ex'!K:K, $F193)*$K194/$M194,0)/$I$1*(1-0.8*N194)</f>
        <v>0</v>
      </c>
      <c r="W194" s="1416">
        <f t="shared" ca="1" si="283"/>
        <v>0</v>
      </c>
      <c r="X194" s="1416">
        <f t="shared" ca="1" si="283"/>
        <v>0</v>
      </c>
      <c r="Y194" s="256" cm="1">
        <f t="array" aca="1" ref="Y194" ca="1">_xlfn.SWITCH(T194,Y$3,V194+Z194,W$3,W194,0)</f>
        <v>0</v>
      </c>
      <c r="Z194" s="1410" cm="1">
        <f t="array" aca="1" ref="Z194" ca="1">IFERROR(INDEX('Eléments de constr. inté. et ex'!L:L, $F193)*$K194/$M194,0)/$I$1*(1-0.8*N194)</f>
        <v>0</v>
      </c>
      <c r="AA194" s="1460">
        <f t="shared" ca="1" si="295"/>
        <v>0</v>
      </c>
      <c r="AB194" s="1460"/>
    </row>
    <row r="195" spans="2:28" ht="15.75" outlineLevel="1">
      <c r="B195" s="1871"/>
      <c r="C195" s="1874"/>
      <c r="D195" s="163"/>
      <c r="E195" s="282"/>
      <c r="F195" s="163">
        <f t="shared" ca="1" si="293"/>
        <v>2</v>
      </c>
      <c r="G195" s="163" cm="1">
        <f t="array" aca="1" ref="G195" ca="1">INDEX( 'Eléments de constr. inté. et ex'!C:C, $F194)</f>
        <v>0</v>
      </c>
      <c r="H195" s="163" cm="1">
        <f t="array" aca="1" ref="H195" ca="1">INDEX( 'Eléments de constr. inté. et ex'!D:D, $F194)</f>
        <v>0</v>
      </c>
      <c r="I195" s="163" cm="1">
        <f t="array" aca="1" ref="I195" ca="1">INDEX( 'Eléments de constr. inté. et ex'!G:G, $F194)</f>
        <v>0</v>
      </c>
      <c r="J195" s="163">
        <f ca="1">_xlfn.XLOOKUP($I195,'Baumaterialien Matériaux'!A:A,'Baumaterialien Matériaux'!G:G,0,0)</f>
        <v>0</v>
      </c>
      <c r="K195" s="262">
        <f t="shared" ca="1" si="296"/>
        <v>0</v>
      </c>
      <c r="L195" s="163" cm="1">
        <f t="array" aca="1" ref="L195" ca="1">INDEX( 'Eléments de constr. inté. et ex'!J:J, $F194)</f>
        <v>0</v>
      </c>
      <c r="M195" s="1522" cm="1">
        <f t="array" aca="1" ref="M195" ca="1">INDEX( 'Eléments de constr. inté. et ex'!H:H, $F194)</f>
        <v>0</v>
      </c>
      <c r="N195" s="1627">
        <f>'Outil détaillé'!E$46</f>
        <v>0</v>
      </c>
      <c r="O195" s="1502" cm="1">
        <f t="array" aca="1" ref="O195" ca="1">IFERROR(INDEX('Eléments de constr. inté. et ex'!M:M, $F194)*$K195/$M195,0)/$I$1*(1-0.8*N195)</f>
        <v>0</v>
      </c>
      <c r="P195" s="1416">
        <f t="shared" ca="1" si="281"/>
        <v>0</v>
      </c>
      <c r="Q195" s="1416">
        <f t="shared" ca="1" si="281"/>
        <v>0</v>
      </c>
      <c r="R195" s="256" cm="1">
        <f t="array" aca="1" ref="R195" ca="1">_xlfn.SWITCH(L195,R$3,O195+S195,P$3,P195,0)</f>
        <v>0</v>
      </c>
      <c r="S195" s="1410" cm="1">
        <f t="array" aca="1" ref="S195" ca="1">IFERROR(INDEX('Eléments de constr. inté. et ex'!N:N, $F194)*$K195/$M195,0)/$I$1*(1-0.8*N195)</f>
        <v>0</v>
      </c>
      <c r="T195" s="1411">
        <f t="shared" ca="1" si="294"/>
        <v>0</v>
      </c>
      <c r="U195" s="1530" cm="1">
        <f t="array" aca="1" ref="U195" ca="1">IFERROR(INDEX('Eléments de constr. inté. et ex'!O:O, $F194)*$K195/$M195,0)/$I$1*(1-0.8*N195)</f>
        <v>0</v>
      </c>
      <c r="V195" s="1502" cm="1">
        <f t="array" aca="1" ref="V195" ca="1">IFERROR(INDEX('Eléments de constr. inté. et ex'!K:K, $F194)*$K195/$M195,0)/$I$1*(1-0.8*N195)</f>
        <v>0</v>
      </c>
      <c r="W195" s="1416">
        <f t="shared" ca="1" si="283"/>
        <v>0</v>
      </c>
      <c r="X195" s="1416">
        <f t="shared" ca="1" si="283"/>
        <v>0</v>
      </c>
      <c r="Y195" s="256" cm="1">
        <f t="array" aca="1" ref="Y195" ca="1">_xlfn.SWITCH(T195,Y$3,V195+Z195,W$3,W195,0)</f>
        <v>0</v>
      </c>
      <c r="Z195" s="1410" cm="1">
        <f t="array" aca="1" ref="Z195" ca="1">IFERROR(INDEX('Eléments de constr. inté. et ex'!L:L, $F194)*$K195/$M195,0)/$I$1*(1-0.8*N195)</f>
        <v>0</v>
      </c>
      <c r="AA195" s="1460">
        <f t="shared" ca="1" si="295"/>
        <v>0</v>
      </c>
      <c r="AB195" s="1460"/>
    </row>
    <row r="196" spans="2:28" ht="15.75" outlineLevel="1">
      <c r="B196" s="1871"/>
      <c r="C196" s="1874"/>
      <c r="D196" s="163"/>
      <c r="E196" s="282"/>
      <c r="F196" s="163">
        <f t="shared" ca="1" si="293"/>
        <v>2</v>
      </c>
      <c r="G196" s="163" cm="1">
        <f t="array" aca="1" ref="G196" ca="1">INDEX( 'Eléments de constr. inté. et ex'!C:C, $F195)</f>
        <v>0</v>
      </c>
      <c r="H196" s="163" cm="1">
        <f t="array" aca="1" ref="H196" ca="1">INDEX( 'Eléments de constr. inté. et ex'!D:D, $F195)</f>
        <v>0</v>
      </c>
      <c r="I196" s="163" cm="1">
        <f t="array" aca="1" ref="I196" ca="1">INDEX( 'Eléments de constr. inté. et ex'!G:G, $F195)</f>
        <v>0</v>
      </c>
      <c r="J196" s="163">
        <f ca="1">_xlfn.XLOOKUP($I196,'Baumaterialien Matériaux'!A:A,'Baumaterialien Matériaux'!G:G,0,0)</f>
        <v>0</v>
      </c>
      <c r="K196" s="262">
        <f t="shared" ca="1" si="296"/>
        <v>0</v>
      </c>
      <c r="L196" s="163" cm="1">
        <f t="array" aca="1" ref="L196" ca="1">INDEX( 'Eléments de constr. inté. et ex'!J:J, $F195)</f>
        <v>0</v>
      </c>
      <c r="M196" s="1522" cm="1">
        <f t="array" aca="1" ref="M196" ca="1">INDEX( 'Eléments de constr. inté. et ex'!H:H, $F195)</f>
        <v>0</v>
      </c>
      <c r="N196" s="1627">
        <f>'Outil détaillé'!E$46</f>
        <v>0</v>
      </c>
      <c r="O196" s="1502" cm="1">
        <f t="array" aca="1" ref="O196" ca="1">IFERROR(INDEX('Eléments de constr. inté. et ex'!M:M, $F195)*$K196/$M196,0)/$I$1*(1-0.8*N196)</f>
        <v>0</v>
      </c>
      <c r="P196" s="1416">
        <f t="shared" ca="1" si="281"/>
        <v>0</v>
      </c>
      <c r="Q196" s="1416">
        <f t="shared" ca="1" si="281"/>
        <v>0</v>
      </c>
      <c r="R196" s="256" cm="1">
        <f t="array" aca="1" ref="R196" ca="1">_xlfn.SWITCH(L196,R$3,O196+S196,P$3,P196,0)</f>
        <v>0</v>
      </c>
      <c r="S196" s="1410" cm="1">
        <f t="array" aca="1" ref="S196" ca="1">IFERROR(INDEX('Eléments de constr. inté. et ex'!N:N, $F195)*$K196/$M196,0)/$I$1*(1-0.8*N196)</f>
        <v>0</v>
      </c>
      <c r="T196" s="1411">
        <f t="shared" ca="1" si="294"/>
        <v>0</v>
      </c>
      <c r="U196" s="1530" cm="1">
        <f t="array" aca="1" ref="U196" ca="1">IFERROR(INDEX('Eléments de constr. inté. et ex'!O:O, $F195)*$K196/$M196,0)/$I$1*(1-0.8*N196)</f>
        <v>0</v>
      </c>
      <c r="V196" s="1502" cm="1">
        <f t="array" aca="1" ref="V196" ca="1">IFERROR(INDEX('Eléments de constr. inté. et ex'!K:K, $F195)*$K196/$M196,0)/$I$1*(1-0.8*N196)</f>
        <v>0</v>
      </c>
      <c r="W196" s="1416">
        <f t="shared" ca="1" si="283"/>
        <v>0</v>
      </c>
      <c r="X196" s="1416">
        <f t="shared" ca="1" si="283"/>
        <v>0</v>
      </c>
      <c r="Y196" s="256" cm="1">
        <f t="array" aca="1" ref="Y196" ca="1">_xlfn.SWITCH(T196,Y$3,V196+Z196,W$3,W196,0)</f>
        <v>0</v>
      </c>
      <c r="Z196" s="1410" cm="1">
        <f t="array" aca="1" ref="Z196" ca="1">IFERROR(INDEX('Eléments de constr. inté. et ex'!L:L, $F195)*$K196/$M196,0)/$I$1*(1-0.8*N196)</f>
        <v>0</v>
      </c>
      <c r="AA196" s="1460">
        <f t="shared" ca="1" si="295"/>
        <v>0</v>
      </c>
      <c r="AB196" s="1460"/>
    </row>
    <row r="197" spans="2:28" ht="15.75">
      <c r="B197" s="1871"/>
      <c r="C197" s="1874"/>
      <c r="D197" s="163" t="s">
        <v>111</v>
      </c>
      <c r="E197" s="164" t="str">
        <f>'Outil détaillé'!F47</f>
        <v xml:space="preserve">Revêtement de sol fini mixte </v>
      </c>
      <c r="F197" s="801">
        <f ca="1">MATCH(E197, INDIRECT("'Eléments de constr. inté. et ex'!A"&amp;F182+1&amp;":A500"),0)+F182</f>
        <v>101</v>
      </c>
      <c r="G197" s="164"/>
      <c r="H197" s="164"/>
      <c r="I197" s="164"/>
      <c r="J197" s="164" t="s">
        <v>87</v>
      </c>
      <c r="K197" s="270">
        <f>'Outil détaillé'!K47</f>
        <v>80</v>
      </c>
      <c r="L197" s="271"/>
      <c r="M197" s="1467"/>
      <c r="N197" s="1623"/>
      <c r="O197" s="1488">
        <f t="shared" ref="O197" ca="1" si="297">SUM(O198:O204)</f>
        <v>7.1083500000000006</v>
      </c>
      <c r="P197" s="1489">
        <f t="shared" ref="P197:U197" ca="1" si="298">SUM(P198:P204)</f>
        <v>0</v>
      </c>
      <c r="Q197" s="1489">
        <f t="shared" ca="1" si="298"/>
        <v>7.933015000000001</v>
      </c>
      <c r="R197" s="1489">
        <f t="shared" ca="1" si="298"/>
        <v>0</v>
      </c>
      <c r="S197" s="1489">
        <f t="shared" ca="1" si="298"/>
        <v>0.82466500000000009</v>
      </c>
      <c r="T197" s="1489">
        <f t="shared" ca="1" si="298"/>
        <v>15.866030000000002</v>
      </c>
      <c r="U197" s="1490">
        <f t="shared" ca="1" si="298"/>
        <v>3.4521666666666668</v>
      </c>
      <c r="V197" s="1488">
        <f t="shared" ref="V197" ca="1" si="299">SUM(V198:V204)</f>
        <v>35.831500000000005</v>
      </c>
      <c r="W197" s="1489">
        <f t="shared" ref="W197:Z197" ca="1" si="300">SUM(W198:W204)</f>
        <v>0</v>
      </c>
      <c r="X197" s="1489">
        <f t="shared" ca="1" si="300"/>
        <v>38.700260000000007</v>
      </c>
      <c r="Y197" s="1489">
        <f t="shared" ca="1" si="300"/>
        <v>0</v>
      </c>
      <c r="Z197" s="1489">
        <f t="shared" ca="1" si="300"/>
        <v>2.86876</v>
      </c>
      <c r="AA197" s="1490">
        <f t="shared" ref="AA197" ca="1" si="301">SUM(AA198:AA204)</f>
        <v>77.400520000000014</v>
      </c>
      <c r="AB197" s="1490"/>
    </row>
    <row r="198" spans="2:28" ht="15.75" outlineLevel="1">
      <c r="B198" s="1871"/>
      <c r="C198" s="1874"/>
      <c r="D198" s="163"/>
      <c r="E198" s="282">
        <v>0.7</v>
      </c>
      <c r="F198" s="163">
        <f t="shared" ref="F198" ca="1" si="302">IF(I198=0,2,F197+1)</f>
        <v>102</v>
      </c>
      <c r="G198" s="163" t="str" cm="1">
        <f t="array" aca="1" ref="G198" ca="1">INDEX( 'Eléments de constr. inté. et ex'!C:C, $F197)</f>
        <v>Parkett 2-Schicht werkversiegelt, 11 mm [m2]</v>
      </c>
      <c r="H198" s="163" t="str" cm="1">
        <f t="array" aca="1" ref="H198" ca="1">INDEX( 'Eléments de constr. inté. et ex'!D:D, $F197)</f>
        <v>Parquet, 2 plis, vitrifié d'usine, 11 mm</v>
      </c>
      <c r="I198" s="163" t="str" cm="1">
        <f t="array" aca="1" ref="I198" ca="1">INDEX( 'Eléments de constr. inté. et ex'!G:G, $F197)</f>
        <v>11.018</v>
      </c>
      <c r="J198" s="163" t="str">
        <f ca="1">_xlfn.XLOOKUP($I198,'Baumaterialien Matériaux'!A:A,'Baumaterialien Matériaux'!G:G,0,0)</f>
        <v>m2</v>
      </c>
      <c r="K198" s="262">
        <f t="shared" ref="K198:K205" ca="1" si="303">M198*$K$197</f>
        <v>56</v>
      </c>
      <c r="L198" s="163" cm="1">
        <f t="array" aca="1" ref="L198" ca="1">INDEX( 'Eléments de constr. inté. et ex'!J:J, $F197)</f>
        <v>30</v>
      </c>
      <c r="M198" s="1522" cm="1">
        <f t="array" aca="1" ref="M198" ca="1">INDEX( 'Eléments de constr. inté. et ex'!H:H, $F197)</f>
        <v>0.7</v>
      </c>
      <c r="N198" s="1627">
        <f>'Outil détaillé'!E$47</f>
        <v>0</v>
      </c>
      <c r="O198" s="1502" cm="1">
        <f t="array" aca="1" ref="O198" ca="1">IFERROR(INDEX('Eléments de constr. inté. et ex'!M:M, $F197)*$K198/$M198,0)/$I$1*(1-0.8*N198)</f>
        <v>2.6144999999999996</v>
      </c>
      <c r="P198" s="1416">
        <f t="shared" ca="1" si="281"/>
        <v>0</v>
      </c>
      <c r="Q198" s="1416">
        <f t="shared" ca="1" si="281"/>
        <v>2.7324499999999996</v>
      </c>
      <c r="R198" s="256" cm="1">
        <f t="array" aca="1" ref="R198" ca="1">_xlfn.SWITCH(L198,R$3,O198+S198,P$3,P198,0)</f>
        <v>0</v>
      </c>
      <c r="S198" s="1410" cm="1">
        <f t="array" aca="1" ref="S198" ca="1">IFERROR(INDEX('Eléments de constr. inté. et ex'!N:N, $F197)*$K198/$M198,0)/$I$1*(1-0.8*N198)</f>
        <v>0.11795</v>
      </c>
      <c r="T198" s="1411">
        <f t="shared" ref="T198:T205" ca="1" si="304">SUM(O198:S198)</f>
        <v>5.4649000000000001</v>
      </c>
      <c r="U198" s="1530" cm="1">
        <f t="array" aca="1" ref="U198" ca="1">IFERROR(INDEX('Eléments de constr. inté. et ex'!O:O, $F197)*$K198/$M198,0)/$I$1*(1-0.8*N198)</f>
        <v>3.4521666666666668</v>
      </c>
      <c r="V198" s="1502" cm="1">
        <f t="array" aca="1" ref="V198" ca="1">IFERROR(INDEX('Eléments de constr. inté. et ex'!K:K, $F197)*$K198/$M198,0)/$I$1*(1-0.8*N198)</f>
        <v>14.595000000000002</v>
      </c>
      <c r="W198" s="1416">
        <f t="shared" ca="1" si="283"/>
        <v>0</v>
      </c>
      <c r="X198" s="1416">
        <f t="shared" ca="1" si="283"/>
        <v>14.792050000000003</v>
      </c>
      <c r="Y198" s="256" cm="1">
        <f t="array" aca="1" ref="Y198" ca="1">_xlfn.SWITCH(T198,Y$3,V198+Z198,W$3,W198,0)</f>
        <v>0</v>
      </c>
      <c r="Z198" s="1410" cm="1">
        <f t="array" aca="1" ref="Z198" ca="1">IFERROR(INDEX('Eléments de constr. inté. et ex'!L:L, $F197)*$K198/$M198,0)/$I$1*(1-0.8*N198)</f>
        <v>0.19705</v>
      </c>
      <c r="AA198" s="1460">
        <f t="shared" ref="AA198:AA205" ca="1" si="305">SUM(V198:Z198)</f>
        <v>29.584100000000007</v>
      </c>
      <c r="AB198" s="1460"/>
    </row>
    <row r="199" spans="2:28" ht="15.75" outlineLevel="1">
      <c r="B199" s="1871"/>
      <c r="C199" s="1874"/>
      <c r="D199" s="163"/>
      <c r="E199" s="282">
        <v>0.7</v>
      </c>
      <c r="F199" s="163">
        <f t="shared" ref="F199:F204" ca="1" si="306">IF(I199=0,2,F198+1)</f>
        <v>103</v>
      </c>
      <c r="G199" s="163" t="str" cm="1">
        <f t="array" aca="1" ref="G199" ca="1">INDEX( 'Eléments de constr. inté. et ex'!C:C, $F198)</f>
        <v>Klebstoff [kg]</v>
      </c>
      <c r="H199" s="163" t="str" cm="1">
        <f t="array" aca="1" ref="H199" ca="1">INDEX( 'Eléments de constr. inté. et ex'!D:D, $F198)</f>
        <v>Colle bicomposant</v>
      </c>
      <c r="I199" s="163" t="str" cm="1">
        <f t="array" aca="1" ref="I199" ca="1">INDEX( 'Eléments de constr. inté. et ex'!G:G, $F198)</f>
        <v>08.001</v>
      </c>
      <c r="J199" s="163" t="str">
        <f ca="1">_xlfn.XLOOKUP($I199,'Baumaterialien Matériaux'!A:A,'Baumaterialien Matériaux'!G:G,0,0)</f>
        <v>kg</v>
      </c>
      <c r="K199" s="262">
        <f t="shared" ca="1" si="303"/>
        <v>56</v>
      </c>
      <c r="L199" s="163" cm="1">
        <f t="array" aca="1" ref="L199" ca="1">INDEX( 'Eléments de constr. inté. et ex'!J:J, $F198)</f>
        <v>30</v>
      </c>
      <c r="M199" s="1522" cm="1">
        <f t="array" aca="1" ref="M199" ca="1">INDEX( 'Eléments de constr. inté. et ex'!H:H, $F198)</f>
        <v>0.7</v>
      </c>
      <c r="N199" s="1627">
        <f>'Outil détaillé'!E$47</f>
        <v>0</v>
      </c>
      <c r="O199" s="1502" cm="1">
        <f t="array" aca="1" ref="O199" ca="1">IFERROR(INDEX('Eléments de constr. inté. et ex'!M:M, $F198)*$K199/$M199,0)/$I$1*(1-0.8*N199)</f>
        <v>1.6275000000000002</v>
      </c>
      <c r="P199" s="1416">
        <f t="shared" ca="1" si="281"/>
        <v>0</v>
      </c>
      <c r="Q199" s="1416">
        <f t="shared" ca="1" si="281"/>
        <v>1.6929500000000002</v>
      </c>
      <c r="R199" s="256" cm="1">
        <f t="array" aca="1" ref="R199" ca="1">_xlfn.SWITCH(L199,R$3,O199+S199,P$3,P199,0)</f>
        <v>0</v>
      </c>
      <c r="S199" s="1410" cm="1">
        <f t="array" aca="1" ref="S199" ca="1">IFERROR(INDEX('Eléments de constr. inté. et ex'!N:N, $F198)*$K199/$M199,0)/$I$1*(1-0.8*N199)</f>
        <v>6.5449999999999994E-2</v>
      </c>
      <c r="T199" s="1411">
        <f t="shared" ca="1" si="304"/>
        <v>3.3858999999999999</v>
      </c>
      <c r="U199" s="1530" cm="1">
        <f t="array" aca="1" ref="U199" ca="1">IFERROR(INDEX('Eléments de constr. inté. et ex'!O:O, $F198)*$K199/$M199,0)/$I$1*(1-0.8*N199)</f>
        <v>0</v>
      </c>
      <c r="V199" s="1502" cm="1">
        <f t="array" aca="1" ref="V199" ca="1">IFERROR(INDEX('Eléments de constr. inté. et ex'!K:K, $F198)*$K199/$M199,0)/$I$1*(1-0.8*N199)</f>
        <v>8.4699999999999989</v>
      </c>
      <c r="W199" s="1416">
        <f t="shared" ca="1" si="283"/>
        <v>0</v>
      </c>
      <c r="X199" s="1416">
        <f t="shared" ca="1" si="283"/>
        <v>8.4895299999999985</v>
      </c>
      <c r="Y199" s="256" cm="1">
        <f t="array" aca="1" ref="Y199" ca="1">_xlfn.SWITCH(T199,Y$3,V199+Z199,W$3,W199,0)</f>
        <v>0</v>
      </c>
      <c r="Z199" s="1410" cm="1">
        <f t="array" aca="1" ref="Z199" ca="1">IFERROR(INDEX('Eléments de constr. inté. et ex'!L:L, $F198)*$K199/$M199,0)/$I$1*(1-0.8*N199)</f>
        <v>1.9529999999999999E-2</v>
      </c>
      <c r="AA199" s="1460">
        <f t="shared" ca="1" si="305"/>
        <v>16.979059999999997</v>
      </c>
      <c r="AB199" s="1460"/>
    </row>
    <row r="200" spans="2:28" ht="15.75" outlineLevel="1">
      <c r="B200" s="1871"/>
      <c r="C200" s="1874"/>
      <c r="D200" s="163"/>
      <c r="E200" s="282">
        <v>0.3</v>
      </c>
      <c r="F200" s="163">
        <f t="shared" ca="1" si="306"/>
        <v>104</v>
      </c>
      <c r="G200" s="163" t="str" cm="1">
        <f t="array" aca="1" ref="G200" ca="1">INDEX( 'Eléments de constr. inté. et ex'!C:C, $F199)</f>
        <v>Keramikplatten 9mm [m2]</v>
      </c>
      <c r="H200" s="163" t="str" cm="1">
        <f t="array" aca="1" ref="H200" ca="1">INDEX( 'Eléments de constr. inté. et ex'!D:D, $F199)</f>
        <v>Dalle en céramique/grès, 9 mm</v>
      </c>
      <c r="I200" s="163" t="str" cm="1">
        <f t="array" aca="1" ref="I200" ca="1">INDEX( 'Eléments de constr. inté. et ex'!G:G, $F199)</f>
        <v>11.008</v>
      </c>
      <c r="J200" s="163" t="str">
        <f ca="1">_xlfn.XLOOKUP($I200,'Baumaterialien Matériaux'!A:A,'Baumaterialien Matériaux'!G:G,0,0)</f>
        <v>m2</v>
      </c>
      <c r="K200" s="262">
        <f t="shared" ca="1" si="303"/>
        <v>24</v>
      </c>
      <c r="L200" s="163" cm="1">
        <f t="array" aca="1" ref="L200" ca="1">INDEX( 'Eléments de constr. inté. et ex'!J:J, $F199)</f>
        <v>30</v>
      </c>
      <c r="M200" s="1522" cm="1">
        <f t="array" aca="1" ref="M200" ca="1">INDEX( 'Eléments de constr. inté. et ex'!H:H, $F199)</f>
        <v>0.3</v>
      </c>
      <c r="N200" s="1627">
        <f>'Outil détaillé'!E$47</f>
        <v>0</v>
      </c>
      <c r="O200" s="1502" cm="1">
        <f t="array" aca="1" ref="O200" ca="1">IFERROR(INDEX('Eléments de constr. inté. et ex'!M:M, $F199)*$K200/$M200,0)/$I$1*(1-0.8*N200)</f>
        <v>2.1000000000000005</v>
      </c>
      <c r="P200" s="1416">
        <f t="shared" ca="1" si="281"/>
        <v>0</v>
      </c>
      <c r="Q200" s="1416">
        <f t="shared" ca="1" si="281"/>
        <v>2.7165000000000008</v>
      </c>
      <c r="R200" s="256" cm="1">
        <f t="array" aca="1" ref="R200" ca="1">_xlfn.SWITCH(L200,R$3,O200+S200,P$3,P200,0)</f>
        <v>0</v>
      </c>
      <c r="S200" s="1410" cm="1">
        <f t="array" aca="1" ref="S200" ca="1">IFERROR(INDEX('Eléments de constr. inté. et ex'!N:N, $F199)*$K200/$M200,0)/$I$1*(1-0.8*N200)</f>
        <v>0.61650000000000005</v>
      </c>
      <c r="T200" s="1411">
        <f t="shared" ca="1" si="304"/>
        <v>5.4330000000000016</v>
      </c>
      <c r="U200" s="1530" cm="1">
        <f t="array" aca="1" ref="U200" ca="1">IFERROR(INDEX('Eléments de constr. inté. et ex'!O:O, $F199)*$K200/$M200,0)/$I$1*(1-0.8*N200)</f>
        <v>0</v>
      </c>
      <c r="V200" s="1502" cm="1">
        <f t="array" aca="1" ref="V200" ca="1">IFERROR(INDEX('Eléments de constr. inté. et ex'!K:K, $F199)*$K200/$M200,0)/$I$1*(1-0.8*N200)</f>
        <v>9.9000000000000021</v>
      </c>
      <c r="W200" s="1416">
        <f t="shared" ca="1" si="283"/>
        <v>0</v>
      </c>
      <c r="X200" s="1416">
        <f t="shared" ca="1" si="283"/>
        <v>12.450000000000003</v>
      </c>
      <c r="Y200" s="256" cm="1">
        <f t="array" aca="1" ref="Y200" ca="1">_xlfn.SWITCH(T200,Y$3,V200+Z200,W$3,W200,0)</f>
        <v>0</v>
      </c>
      <c r="Z200" s="1410" cm="1">
        <f t="array" aca="1" ref="Z200" ca="1">IFERROR(INDEX('Eléments de constr. inté. et ex'!L:L, $F199)*$K200/$M200,0)/$I$1*(1-0.8*N200)</f>
        <v>2.5499999999999998</v>
      </c>
      <c r="AA200" s="1460">
        <f t="shared" ca="1" si="305"/>
        <v>24.900000000000006</v>
      </c>
      <c r="AB200" s="1460"/>
    </row>
    <row r="201" spans="2:28" ht="15.75" outlineLevel="1">
      <c r="B201" s="1871"/>
      <c r="C201" s="1874"/>
      <c r="D201" s="163"/>
      <c r="E201" s="282">
        <v>0.3</v>
      </c>
      <c r="F201" s="163">
        <f t="shared" ca="1" si="306"/>
        <v>105</v>
      </c>
      <c r="G201" s="163" t="str" cm="1">
        <f t="array" aca="1" ref="G201" ca="1">INDEX( 'Eléments de constr. inté. et ex'!C:C, $F200)</f>
        <v>Klebemörtel [kg]</v>
      </c>
      <c r="H201" s="163" t="str" cm="1">
        <f t="array" aca="1" ref="H201" ca="1">INDEX( 'Eléments de constr. inté. et ex'!D:D, $F200)</f>
        <v xml:space="preserve">Colle de construction/mortier d'enrobage minéral(e) </v>
      </c>
      <c r="I201" s="163" t="str" cm="1">
        <f t="array" aca="1" ref="I201" ca="1">INDEX( 'Eléments de constr. inté. et ex'!G:G, $F200)</f>
        <v>04.008</v>
      </c>
      <c r="J201" s="163" t="str">
        <f ca="1">_xlfn.XLOOKUP($I201,'Baumaterialien Matériaux'!A:A,'Baumaterialien Matériaux'!G:G,0,0)</f>
        <v>kg</v>
      </c>
      <c r="K201" s="262">
        <f t="shared" ca="1" si="303"/>
        <v>312</v>
      </c>
      <c r="L201" s="163" cm="1">
        <f t="array" aca="1" ref="L201" ca="1">INDEX( 'Eléments de constr. inté. et ex'!J:J, $F200)</f>
        <v>30</v>
      </c>
      <c r="M201" s="1522" cm="1">
        <f t="array" aca="1" ref="M201" ca="1">INDEX( 'Eléments de constr. inté. et ex'!H:H, $F200)</f>
        <v>3.9</v>
      </c>
      <c r="N201" s="1627">
        <f>'Outil détaillé'!E$47</f>
        <v>0</v>
      </c>
      <c r="O201" s="1502" cm="1">
        <f t="array" aca="1" ref="O201" ca="1">IFERROR(INDEX('Eléments de constr. inté. et ex'!M:M, $F200)*$K201/$M201,0)/$I$1*(1-0.8*N201)</f>
        <v>0.76634999999999998</v>
      </c>
      <c r="P201" s="1416">
        <f t="shared" ca="1" si="281"/>
        <v>0</v>
      </c>
      <c r="Q201" s="1416">
        <f t="shared" ca="1" si="281"/>
        <v>0.79111500000000001</v>
      </c>
      <c r="R201" s="256" cm="1">
        <f t="array" aca="1" ref="R201" ca="1">_xlfn.SWITCH(L201,R$3,O201+S201,P$3,P201,0)</f>
        <v>0</v>
      </c>
      <c r="S201" s="1410" cm="1">
        <f t="array" aca="1" ref="S201" ca="1">IFERROR(INDEX('Eléments de constr. inté. et ex'!N:N, $F200)*$K201/$M201,0)/$I$1*(1-0.8*N201)</f>
        <v>2.4765000000000002E-2</v>
      </c>
      <c r="T201" s="1411">
        <f t="shared" ca="1" si="304"/>
        <v>1.58223</v>
      </c>
      <c r="U201" s="1530" cm="1">
        <f t="array" aca="1" ref="U201" ca="1">IFERROR(INDEX('Eléments de constr. inté. et ex'!O:O, $F200)*$K201/$M201,0)/$I$1*(1-0.8*N201)</f>
        <v>0</v>
      </c>
      <c r="V201" s="1502" cm="1">
        <f t="array" aca="1" ref="V201" ca="1">IFERROR(INDEX('Eléments de constr. inté. et ex'!K:K, $F200)*$K201/$M201,0)/$I$1*(1-0.8*N201)</f>
        <v>2.8664999999999998</v>
      </c>
      <c r="W201" s="1416">
        <f t="shared" ca="1" si="283"/>
        <v>0</v>
      </c>
      <c r="X201" s="1416">
        <f t="shared" ca="1" si="283"/>
        <v>2.96868</v>
      </c>
      <c r="Y201" s="256" cm="1">
        <f t="array" aca="1" ref="Y201" ca="1">_xlfn.SWITCH(T201,Y$3,V201+Z201,W$3,W201,0)</f>
        <v>0</v>
      </c>
      <c r="Z201" s="1410" cm="1">
        <f t="array" aca="1" ref="Z201" ca="1">IFERROR(INDEX('Eléments de constr. inté. et ex'!L:L, $F200)*$K201/$M201,0)/$I$1*(1-0.8*N201)</f>
        <v>0.10218000000000001</v>
      </c>
      <c r="AA201" s="1460">
        <f t="shared" ca="1" si="305"/>
        <v>5.9373599999999991</v>
      </c>
      <c r="AB201" s="1460"/>
    </row>
    <row r="202" spans="2:28" ht="15.75" outlineLevel="1">
      <c r="B202" s="1871"/>
      <c r="C202" s="1874"/>
      <c r="D202" s="163"/>
      <c r="E202" s="163"/>
      <c r="F202" s="163">
        <f t="shared" ca="1" si="306"/>
        <v>2</v>
      </c>
      <c r="G202" s="163" cm="1">
        <f t="array" aca="1" ref="G202" ca="1">INDEX( 'Eléments de constr. inté. et ex'!C:C, $F201)</f>
        <v>0</v>
      </c>
      <c r="H202" s="163" cm="1">
        <f t="array" aca="1" ref="H202" ca="1">INDEX( 'Eléments de constr. inté. et ex'!D:D, $F201)</f>
        <v>0</v>
      </c>
      <c r="I202" s="163" cm="1">
        <f t="array" aca="1" ref="I202" ca="1">INDEX( 'Eléments de constr. inté. et ex'!G:G, $F201)</f>
        <v>0</v>
      </c>
      <c r="J202" s="163">
        <f ca="1">_xlfn.XLOOKUP($I202,'Baumaterialien Matériaux'!A:A,'Baumaterialien Matériaux'!G:G,0,0)</f>
        <v>0</v>
      </c>
      <c r="K202" s="262">
        <f t="shared" ca="1" si="303"/>
        <v>0</v>
      </c>
      <c r="L202" s="163" cm="1">
        <f t="array" aca="1" ref="L202" ca="1">INDEX( 'Eléments de constr. inté. et ex'!J:J, $F201)</f>
        <v>0</v>
      </c>
      <c r="M202" s="1522" cm="1">
        <f t="array" aca="1" ref="M202" ca="1">INDEX( 'Eléments de constr. inté. et ex'!H:H, $F201)</f>
        <v>0</v>
      </c>
      <c r="N202" s="1627">
        <f>'Outil détaillé'!E$47</f>
        <v>0</v>
      </c>
      <c r="O202" s="1502" cm="1">
        <f t="array" aca="1" ref="O202" ca="1">IFERROR(INDEX('Eléments de constr. inté. et ex'!M:M, $F201)*$K202/$M202,0)/$I$1*(1-0.8*N202)</f>
        <v>0</v>
      </c>
      <c r="P202" s="1416">
        <f t="shared" ca="1" si="281"/>
        <v>0</v>
      </c>
      <c r="Q202" s="1416">
        <f t="shared" ca="1" si="281"/>
        <v>0</v>
      </c>
      <c r="R202" s="256" cm="1">
        <f t="array" aca="1" ref="R202" ca="1">_xlfn.SWITCH(L202,R$3,O202+S202,P$3,P202,0)</f>
        <v>0</v>
      </c>
      <c r="S202" s="1410" cm="1">
        <f t="array" aca="1" ref="S202" ca="1">IFERROR(INDEX('Eléments de constr. inté. et ex'!N:N, $F201)*$K202/$M202,0)/$I$1*(1-0.8*N202)</f>
        <v>0</v>
      </c>
      <c r="T202" s="1411">
        <f t="shared" ca="1" si="304"/>
        <v>0</v>
      </c>
      <c r="U202" s="1530" cm="1">
        <f t="array" aca="1" ref="U202" ca="1">IFERROR(INDEX('Eléments de constr. inté. et ex'!O:O, $F201)*$K202/$M202,0)/$I$1*(1-0.8*N202)</f>
        <v>0</v>
      </c>
      <c r="V202" s="1502" cm="1">
        <f t="array" aca="1" ref="V202" ca="1">IFERROR(INDEX('Eléments de constr. inté. et ex'!K:K, $F201)*$K202/$M202,0)/$I$1*(1-0.8*N202)</f>
        <v>0</v>
      </c>
      <c r="W202" s="1416">
        <f t="shared" ca="1" si="283"/>
        <v>0</v>
      </c>
      <c r="X202" s="1416">
        <f t="shared" ca="1" si="283"/>
        <v>0</v>
      </c>
      <c r="Y202" s="256" cm="1">
        <f t="array" aca="1" ref="Y202" ca="1">_xlfn.SWITCH(T202,Y$3,V202+Z202,W$3,W202,0)</f>
        <v>0</v>
      </c>
      <c r="Z202" s="1410" cm="1">
        <f t="array" aca="1" ref="Z202" ca="1">IFERROR(INDEX('Eléments de constr. inté. et ex'!L:L, $F201)*$K202/$M202,0)/$I$1*(1-0.8*N202)</f>
        <v>0</v>
      </c>
      <c r="AA202" s="1460">
        <f t="shared" ca="1" si="305"/>
        <v>0</v>
      </c>
      <c r="AB202" s="1460"/>
    </row>
    <row r="203" spans="2:28" ht="15.75" outlineLevel="1">
      <c r="B203" s="1871"/>
      <c r="C203" s="1874"/>
      <c r="D203" s="163"/>
      <c r="E203" s="163"/>
      <c r="F203" s="163">
        <f t="shared" ca="1" si="306"/>
        <v>2</v>
      </c>
      <c r="G203" s="163" cm="1">
        <f t="array" aca="1" ref="G203" ca="1">INDEX( 'Eléments de constr. inté. et ex'!C:C, $F202)</f>
        <v>0</v>
      </c>
      <c r="H203" s="163" cm="1">
        <f t="array" aca="1" ref="H203" ca="1">INDEX( 'Eléments de constr. inté. et ex'!D:D, $F202)</f>
        <v>0</v>
      </c>
      <c r="I203" s="163" cm="1">
        <f t="array" aca="1" ref="I203" ca="1">INDEX( 'Eléments de constr. inté. et ex'!G:G, $F202)</f>
        <v>0</v>
      </c>
      <c r="J203" s="163">
        <f ca="1">_xlfn.XLOOKUP($I203,'Baumaterialien Matériaux'!A:A,'Baumaterialien Matériaux'!G:G,0,0)</f>
        <v>0</v>
      </c>
      <c r="K203" s="262">
        <f t="shared" ca="1" si="303"/>
        <v>0</v>
      </c>
      <c r="L203" s="163" cm="1">
        <f t="array" aca="1" ref="L203" ca="1">INDEX( 'Eléments de constr. inté. et ex'!J:J, $F202)</f>
        <v>0</v>
      </c>
      <c r="M203" s="1522" cm="1">
        <f t="array" aca="1" ref="M203" ca="1">INDEX( 'Eléments de constr. inté. et ex'!H:H, $F202)</f>
        <v>0</v>
      </c>
      <c r="N203" s="1627">
        <f>'Outil détaillé'!E$47</f>
        <v>0</v>
      </c>
      <c r="O203" s="1502" cm="1">
        <f t="array" aca="1" ref="O203" ca="1">IFERROR(INDEX('Eléments de constr. inté. et ex'!M:M, $F202)*$K203/$M203,0)/$I$1*(1-0.8*N203)</f>
        <v>0</v>
      </c>
      <c r="P203" s="1416">
        <f t="shared" ca="1" si="281"/>
        <v>0</v>
      </c>
      <c r="Q203" s="1416">
        <f t="shared" ca="1" si="281"/>
        <v>0</v>
      </c>
      <c r="R203" s="256" cm="1">
        <f t="array" aca="1" ref="R203" ca="1">_xlfn.SWITCH(L203,R$3,O203+S203,P$3,P203,0)</f>
        <v>0</v>
      </c>
      <c r="S203" s="1410" cm="1">
        <f t="array" aca="1" ref="S203" ca="1">IFERROR(INDEX('Eléments de constr. inté. et ex'!N:N, $F202)*$K203/$M203,0)/$I$1*(1-0.8*N203)</f>
        <v>0</v>
      </c>
      <c r="T203" s="1411">
        <f t="shared" ca="1" si="304"/>
        <v>0</v>
      </c>
      <c r="U203" s="1530" cm="1">
        <f t="array" aca="1" ref="U203" ca="1">IFERROR(INDEX('Eléments de constr. inté. et ex'!O:O, $F202)*$K203/$M203,0)/$I$1*(1-0.8*N203)</f>
        <v>0</v>
      </c>
      <c r="V203" s="1502" cm="1">
        <f t="array" aca="1" ref="V203" ca="1">IFERROR(INDEX('Eléments de constr. inté. et ex'!K:K, $F202)*$K203/$M203,0)/$I$1*(1-0.8*N203)</f>
        <v>0</v>
      </c>
      <c r="W203" s="1416">
        <f t="shared" ca="1" si="283"/>
        <v>0</v>
      </c>
      <c r="X203" s="1416">
        <f t="shared" ca="1" si="283"/>
        <v>0</v>
      </c>
      <c r="Y203" s="256" cm="1">
        <f t="array" aca="1" ref="Y203" ca="1">_xlfn.SWITCH(T203,Y$3,V203+Z203,W$3,W203,0)</f>
        <v>0</v>
      </c>
      <c r="Z203" s="1410" cm="1">
        <f t="array" aca="1" ref="Z203" ca="1">IFERROR(INDEX('Eléments de constr. inté. et ex'!L:L, $F202)*$K203/$M203,0)/$I$1*(1-0.8*N203)</f>
        <v>0</v>
      </c>
      <c r="AA203" s="1460">
        <f t="shared" ca="1" si="305"/>
        <v>0</v>
      </c>
      <c r="AB203" s="1460"/>
    </row>
    <row r="204" spans="2:28" ht="15.75" outlineLevel="1">
      <c r="B204" s="1871"/>
      <c r="C204" s="1874"/>
      <c r="D204" s="163"/>
      <c r="E204" s="163"/>
      <c r="F204" s="163">
        <f t="shared" ca="1" si="306"/>
        <v>2</v>
      </c>
      <c r="G204" s="163" cm="1">
        <f t="array" aca="1" ref="G204" ca="1">INDEX( 'Eléments de constr. inté. et ex'!C:C, $F203)</f>
        <v>0</v>
      </c>
      <c r="H204" s="163" cm="1">
        <f t="array" aca="1" ref="H204" ca="1">INDEX( 'Eléments de constr. inté. et ex'!D:D, $F203)</f>
        <v>0</v>
      </c>
      <c r="I204" s="163" cm="1">
        <f t="array" aca="1" ref="I204" ca="1">INDEX( 'Eléments de constr. inté. et ex'!G:G, $F203)</f>
        <v>0</v>
      </c>
      <c r="J204" s="163">
        <f ca="1">_xlfn.XLOOKUP($I204,'Baumaterialien Matériaux'!A:A,'Baumaterialien Matériaux'!G:G,0,0)</f>
        <v>0</v>
      </c>
      <c r="K204" s="262">
        <f t="shared" ca="1" si="303"/>
        <v>0</v>
      </c>
      <c r="L204" s="163" cm="1">
        <f t="array" aca="1" ref="L204" ca="1">INDEX( 'Eléments de constr. inté. et ex'!J:J, $F203)</f>
        <v>0</v>
      </c>
      <c r="M204" s="1522" cm="1">
        <f t="array" aca="1" ref="M204" ca="1">INDEX( 'Eléments de constr. inté. et ex'!H:H, $F203)</f>
        <v>0</v>
      </c>
      <c r="N204" s="1627">
        <f>'Outil détaillé'!E$47</f>
        <v>0</v>
      </c>
      <c r="O204" s="1502" cm="1">
        <f t="array" aca="1" ref="O204" ca="1">IFERROR(INDEX('Eléments de constr. inté. et ex'!M:M, $F203)*$K204/$M204,0)/$I$1*(1-0.8*N204)</f>
        <v>0</v>
      </c>
      <c r="P204" s="1416">
        <f t="shared" ca="1" si="281"/>
        <v>0</v>
      </c>
      <c r="Q204" s="1416">
        <f t="shared" ca="1" si="281"/>
        <v>0</v>
      </c>
      <c r="R204" s="256" cm="1">
        <f t="array" aca="1" ref="R204" ca="1">_xlfn.SWITCH(L204,R$3,O204+S204,P$3,P204,0)</f>
        <v>0</v>
      </c>
      <c r="S204" s="1410" cm="1">
        <f t="array" aca="1" ref="S204" ca="1">IFERROR(INDEX('Eléments de constr. inté. et ex'!N:N, $F203)*$K204/$M204,0)/$I$1*(1-0.8*N204)</f>
        <v>0</v>
      </c>
      <c r="T204" s="1411">
        <f t="shared" ca="1" si="304"/>
        <v>0</v>
      </c>
      <c r="U204" s="1530" cm="1">
        <f t="array" aca="1" ref="U204" ca="1">IFERROR(INDEX('Eléments de constr. inté. et ex'!O:O, $F203)*$K204/$M204,0)/$I$1*(1-0.8*N204)</f>
        <v>0</v>
      </c>
      <c r="V204" s="1502" cm="1">
        <f t="array" aca="1" ref="V204" ca="1">IFERROR(INDEX('Eléments de constr. inté. et ex'!K:K, $F203)*$K204/$M204,0)/$I$1*(1-0.8*N204)</f>
        <v>0</v>
      </c>
      <c r="W204" s="1416">
        <f t="shared" ca="1" si="283"/>
        <v>0</v>
      </c>
      <c r="X204" s="1416">
        <f t="shared" ca="1" si="283"/>
        <v>0</v>
      </c>
      <c r="Y204" s="256" cm="1">
        <f t="array" aca="1" ref="Y204" ca="1">_xlfn.SWITCH(T204,Y$3,V204+Z204,W$3,W204,0)</f>
        <v>0</v>
      </c>
      <c r="Z204" s="1410" cm="1">
        <f t="array" aca="1" ref="Z204" ca="1">IFERROR(INDEX('Eléments de constr. inté. et ex'!L:L, $F203)*$K204/$M204,0)/$I$1*(1-0.8*N204)</f>
        <v>0</v>
      </c>
      <c r="AA204" s="1460">
        <f t="shared" ca="1" si="305"/>
        <v>0</v>
      </c>
      <c r="AB204" s="1460"/>
    </row>
    <row r="205" spans="2:28" ht="15.75" outlineLevel="1">
      <c r="B205" s="1871"/>
      <c r="C205" s="1874"/>
      <c r="D205" s="163"/>
      <c r="E205" s="163"/>
      <c r="F205" s="163">
        <f t="shared" ref="F205" ca="1" si="307">IF(I205=0,2,F204+1)</f>
        <v>2</v>
      </c>
      <c r="G205" s="163" cm="1">
        <f t="array" aca="1" ref="G205" ca="1">INDEX( 'Eléments de constr. inté. et ex'!C:C, $F204)</f>
        <v>0</v>
      </c>
      <c r="H205" s="163" cm="1">
        <f t="array" aca="1" ref="H205" ca="1">INDEX( 'Eléments de constr. inté. et ex'!D:D, $F204)</f>
        <v>0</v>
      </c>
      <c r="I205" s="163" cm="1">
        <f t="array" aca="1" ref="I205" ca="1">INDEX( 'Eléments de constr. inté. et ex'!G:G, $F204)</f>
        <v>0</v>
      </c>
      <c r="J205" s="163">
        <f ca="1">_xlfn.XLOOKUP($I205,'Baumaterialien Matériaux'!A:A,'Baumaterialien Matériaux'!G:G,0,0)</f>
        <v>0</v>
      </c>
      <c r="K205" s="262">
        <f t="shared" ca="1" si="303"/>
        <v>0</v>
      </c>
      <c r="L205" s="163" cm="1">
        <f t="array" aca="1" ref="L205" ca="1">INDEX( 'Eléments de constr. inté. et ex'!J:J, $F204)</f>
        <v>0</v>
      </c>
      <c r="M205" s="1522" cm="1">
        <f t="array" aca="1" ref="M205" ca="1">INDEX( 'Eléments de constr. inté. et ex'!H:H, $F204)</f>
        <v>0</v>
      </c>
      <c r="N205" s="1627">
        <f>'Outil détaillé'!E$47</f>
        <v>0</v>
      </c>
      <c r="O205" s="1502" cm="1">
        <f t="array" aca="1" ref="O205" ca="1">IFERROR(INDEX('Eléments de constr. inté. et ex'!M:M, $F204)*$K205/$M205,0)/$I$1*(1-0.8*N205)</f>
        <v>0</v>
      </c>
      <c r="P205" s="1416">
        <f t="shared" ca="1" si="281"/>
        <v>0</v>
      </c>
      <c r="Q205" s="1416">
        <f t="shared" ca="1" si="281"/>
        <v>0</v>
      </c>
      <c r="R205" s="256" cm="1">
        <f t="array" aca="1" ref="R205" ca="1">_xlfn.SWITCH(L205,R$3,O205+S205,P$3,P205,0)</f>
        <v>0</v>
      </c>
      <c r="S205" s="1410" cm="1">
        <f t="array" aca="1" ref="S205" ca="1">IFERROR(INDEX('Eléments de constr. inté. et ex'!N:N, $F204)*$K205/$M205,0)/$I$1*(1-0.8*N205)</f>
        <v>0</v>
      </c>
      <c r="T205" s="1411">
        <f t="shared" ca="1" si="304"/>
        <v>0</v>
      </c>
      <c r="U205" s="1530" cm="1">
        <f t="array" aca="1" ref="U205" ca="1">IFERROR(INDEX('Eléments de constr. inté. et ex'!O:O, $F204)*$K205/$M205,0)/$I$1*(1-0.8*N205)</f>
        <v>0</v>
      </c>
      <c r="V205" s="1502" cm="1">
        <f t="array" aca="1" ref="V205" ca="1">IFERROR(INDEX('Eléments de constr. inté. et ex'!K:K, $F204)*$K205/$M205,0)/$I$1*(1-0.8*N205)</f>
        <v>0</v>
      </c>
      <c r="W205" s="1416">
        <f t="shared" ca="1" si="283"/>
        <v>0</v>
      </c>
      <c r="X205" s="1416">
        <f t="shared" ca="1" si="283"/>
        <v>0</v>
      </c>
      <c r="Y205" s="256" cm="1">
        <f t="array" aca="1" ref="Y205" ca="1">_xlfn.SWITCH(T205,Y$3,V205+Z205,W$3,W205,0)</f>
        <v>0</v>
      </c>
      <c r="Z205" s="1410" cm="1">
        <f t="array" aca="1" ref="Z205" ca="1">IFERROR(INDEX('Eléments de constr. inté. et ex'!L:L, $F204)*$K205/$M205,0)/$I$1*(1-0.8*N205)</f>
        <v>0</v>
      </c>
      <c r="AA205" s="1460">
        <f t="shared" ca="1" si="305"/>
        <v>0</v>
      </c>
      <c r="AB205" s="1460"/>
    </row>
    <row r="206" spans="2:28" ht="15.75" outlineLevel="1">
      <c r="B206" s="1871"/>
      <c r="C206" s="1874"/>
      <c r="D206" s="163" t="str">
        <f>'Outil détaillé'!D48</f>
        <v>Hors-terrain support</v>
      </c>
      <c r="E206" s="164" t="str">
        <f>'Outil détaillé'!F48</f>
        <v>Chape ciment</v>
      </c>
      <c r="F206" s="801">
        <f ca="1">MATCH(E206, INDIRECT("'Eléments de constr. inté. et ex'!A"&amp;F182+1&amp;":A500"),0)+F182</f>
        <v>108</v>
      </c>
      <c r="G206" s="164"/>
      <c r="H206" s="164"/>
      <c r="I206" s="164"/>
      <c r="J206" s="164" t="s">
        <v>87</v>
      </c>
      <c r="K206" s="270">
        <f>'Outil détaillé'!K48</f>
        <v>80</v>
      </c>
      <c r="L206" s="271"/>
      <c r="M206" s="1467"/>
      <c r="N206" s="1623"/>
      <c r="O206" s="1488">
        <f ca="1">SUM(O207:O210)</f>
        <v>6.9282500000000002</v>
      </c>
      <c r="P206" s="1489">
        <f t="shared" ref="P206" ca="1" si="308">SUM(P207:P210)</f>
        <v>0</v>
      </c>
      <c r="Q206" s="1489">
        <f t="shared" ref="Q206" ca="1" si="309">SUM(Q207:Q210)</f>
        <v>7.7505750000000004</v>
      </c>
      <c r="R206" s="1489">
        <f t="shared" ref="R206" ca="1" si="310">SUM(R207:R210)</f>
        <v>0</v>
      </c>
      <c r="S206" s="1489">
        <f t="shared" ref="S206" ca="1" si="311">SUM(S207:S210)</f>
        <v>0.82232499999999997</v>
      </c>
      <c r="T206" s="1489">
        <f t="shared" ref="T206" ca="1" si="312">SUM(T207:T210)</f>
        <v>15.501149999999999</v>
      </c>
      <c r="U206" s="1490">
        <f t="shared" ref="U206" ca="1" si="313">SUM(U207:U210)</f>
        <v>0</v>
      </c>
      <c r="V206" s="1488">
        <f ca="1">SUM(V207:V210)</f>
        <v>11.590249999999999</v>
      </c>
      <c r="W206" s="1489">
        <f t="shared" ref="W206:Z206" ca="1" si="314">SUM(W207:W210)</f>
        <v>0</v>
      </c>
      <c r="X206" s="1489">
        <f t="shared" ca="1" si="314"/>
        <v>14.996099999999998</v>
      </c>
      <c r="Y206" s="1489">
        <f t="shared" ca="1" si="314"/>
        <v>0</v>
      </c>
      <c r="Z206" s="1489">
        <f t="shared" ca="1" si="314"/>
        <v>3.40585</v>
      </c>
      <c r="AA206" s="1490">
        <f t="shared" ref="AA206" ca="1" si="315">SUM(AA207:AA210)</f>
        <v>29.992199999999997</v>
      </c>
      <c r="AB206" s="1490"/>
    </row>
    <row r="207" spans="2:28" ht="15.75" outlineLevel="1">
      <c r="B207" s="1871"/>
      <c r="C207" s="1874"/>
      <c r="D207" s="163"/>
      <c r="E207" s="282"/>
      <c r="F207" s="163">
        <f t="shared" ref="F207:F210" ca="1" si="316">IF(I207=0,2,F206+1)</f>
        <v>109</v>
      </c>
      <c r="G207" s="163" t="str" cm="1">
        <f t="array" aca="1" ref="G207" ca="1">INDEX( 'Eléments de constr. inté. et ex'!C:C, $F206)</f>
        <v>Zementunterlagsboden 7cm [kg]</v>
      </c>
      <c r="H207" s="163" t="str" cm="1">
        <f t="array" aca="1" ref="H207" ca="1">INDEX( 'Eléments de constr. inté. et ex'!D:D, $F206)</f>
        <v>Chape de ciment, 85 mm</v>
      </c>
      <c r="I207" s="163" t="str" cm="1">
        <f t="array" aca="1" ref="I207" ca="1">INDEX( 'Eléments de constr. inté. et ex'!G:G, $F206)</f>
        <v>04.006</v>
      </c>
      <c r="J207" s="163" t="str">
        <f ca="1">_xlfn.XLOOKUP($I207,'Baumaterialien Matériaux'!A:A,'Baumaterialien Matériaux'!G:G,0,0)</f>
        <v>kg</v>
      </c>
      <c r="K207" s="262">
        <f ca="1">M207*$K$183</f>
        <v>10360</v>
      </c>
      <c r="L207" s="163" cm="1">
        <f t="array" aca="1" ref="L207" ca="1">INDEX( 'Eléments de constr. inté. et ex'!J:J, $F206)</f>
        <v>30</v>
      </c>
      <c r="M207" s="1522" cm="1">
        <f t="array" aca="1" ref="M207" ca="1">INDEX( 'Eléments de constr. inté. et ex'!H:H, $F206)</f>
        <v>129.5</v>
      </c>
      <c r="N207" s="1627">
        <f>'Outil détaillé'!E$48</f>
        <v>0</v>
      </c>
      <c r="O207" s="1502" cm="1">
        <f t="array" aca="1" ref="O207" ca="1">IFERROR(INDEX('Eléments de constr. inté. et ex'!M:M, $F206)*$K207/$M207,0)/$I$1*(1-0.8*N207)</f>
        <v>6.9282500000000002</v>
      </c>
      <c r="P207" s="1416">
        <f t="shared" ca="1" si="281"/>
        <v>0</v>
      </c>
      <c r="Q207" s="1416">
        <f t="shared" ca="1" si="281"/>
        <v>7.7505750000000004</v>
      </c>
      <c r="R207" s="256" cm="1">
        <f t="array" aca="1" ref="R207" ca="1">_xlfn.SWITCH(L207,R$3,O207+S207,P$3,P207,0)</f>
        <v>0</v>
      </c>
      <c r="S207" s="1410" cm="1">
        <f t="array" aca="1" ref="S207" ca="1">IFERROR(INDEX('Eléments de constr. inté. et ex'!N:N, $F206)*$K207/$M207,0)/$I$1*(1-0.8*N207)</f>
        <v>0.82232499999999997</v>
      </c>
      <c r="T207" s="1411">
        <f t="shared" ref="T207:T210" ca="1" si="317">SUM(O207:S207)</f>
        <v>15.501149999999999</v>
      </c>
      <c r="U207" s="1530" cm="1">
        <f t="array" aca="1" ref="U207" ca="1">IFERROR(INDEX('Eléments de constr. inté. et ex'!O:O, $F206)*$K207/$M207,0)/$I$1*(1-0.8*N207)</f>
        <v>0</v>
      </c>
      <c r="V207" s="1502" cm="1">
        <f t="array" aca="1" ref="V207" ca="1">IFERROR(INDEX('Eléments de constr. inté. et ex'!K:K, $F206)*$K207/$M207,0)/$I$1*(1-0.8*N207)</f>
        <v>11.590249999999999</v>
      </c>
      <c r="W207" s="1416">
        <f t="shared" ca="1" si="283"/>
        <v>0</v>
      </c>
      <c r="X207" s="1416">
        <f t="shared" ca="1" si="283"/>
        <v>14.996099999999998</v>
      </c>
      <c r="Y207" s="256" cm="1">
        <f t="array" aca="1" ref="Y207" ca="1">_xlfn.SWITCH(T207,Y$3,V207+Z207,W$3,W207,0)</f>
        <v>0</v>
      </c>
      <c r="Z207" s="1410" cm="1">
        <f t="array" aca="1" ref="Z207" ca="1">IFERROR(INDEX('Eléments de constr. inté. et ex'!L:L, $F206)*$K207/$M207,0)/$I$1*(1-0.8*N207)</f>
        <v>3.40585</v>
      </c>
      <c r="AA207" s="1460">
        <f t="shared" ref="AA207:AA210" ca="1" si="318">SUM(V207:Z207)</f>
        <v>29.992199999999997</v>
      </c>
      <c r="AB207" s="1460"/>
    </row>
    <row r="208" spans="2:28" ht="15.75" outlineLevel="1">
      <c r="B208" s="1871"/>
      <c r="C208" s="1874"/>
      <c r="D208" s="163"/>
      <c r="E208" s="282"/>
      <c r="F208" s="163">
        <f t="shared" ca="1" si="316"/>
        <v>2</v>
      </c>
      <c r="G208" s="163" cm="1">
        <f t="array" aca="1" ref="G208" ca="1">INDEX( 'Eléments de constr. inté. et ex'!C:C, $F207)</f>
        <v>0</v>
      </c>
      <c r="H208" s="163" cm="1">
        <f t="array" aca="1" ref="H208" ca="1">INDEX( 'Eléments de constr. inté. et ex'!D:D, $F207)</f>
        <v>0</v>
      </c>
      <c r="I208" s="163" cm="1">
        <f t="array" aca="1" ref="I208" ca="1">INDEX( 'Eléments de constr. inté. et ex'!G:G, $F207)</f>
        <v>0</v>
      </c>
      <c r="J208" s="163">
        <f ca="1">_xlfn.XLOOKUP($I208,'Baumaterialien Matériaux'!A:A,'Baumaterialien Matériaux'!G:G,0,0)</f>
        <v>0</v>
      </c>
      <c r="K208" s="262">
        <f t="shared" ref="K208:K210" ca="1" si="319">M208*$K$183</f>
        <v>0</v>
      </c>
      <c r="L208" s="163" cm="1">
        <f t="array" aca="1" ref="L208" ca="1">INDEX( 'Eléments de constr. inté. et ex'!J:J, $F207)</f>
        <v>0</v>
      </c>
      <c r="M208" s="1522" cm="1">
        <f t="array" aca="1" ref="M208" ca="1">INDEX( 'Eléments de constr. inté. et ex'!H:H, $F207)</f>
        <v>0</v>
      </c>
      <c r="N208" s="1627">
        <f>'Outil détaillé'!E$48</f>
        <v>0</v>
      </c>
      <c r="O208" s="1502" cm="1">
        <f t="array" aca="1" ref="O208" ca="1">IFERROR(INDEX('Eléments de constr. inté. et ex'!M:M, $F207)*$K208/$M208,0)/$I$1*(1-0.8*N208)</f>
        <v>0</v>
      </c>
      <c r="P208" s="1416">
        <f t="shared" ca="1" si="281"/>
        <v>0</v>
      </c>
      <c r="Q208" s="1416">
        <f t="shared" ca="1" si="281"/>
        <v>0</v>
      </c>
      <c r="R208" s="256" cm="1">
        <f t="array" aca="1" ref="R208" ca="1">_xlfn.SWITCH(L208,R$3,O208+S208,P$3,P208,0)</f>
        <v>0</v>
      </c>
      <c r="S208" s="1410" cm="1">
        <f t="array" aca="1" ref="S208" ca="1">IFERROR(INDEX('Eléments de constr. inté. et ex'!N:N, $F207)*$K208/$M208,0)/$I$1*(1-0.8*N208)</f>
        <v>0</v>
      </c>
      <c r="T208" s="1411">
        <f t="shared" ca="1" si="317"/>
        <v>0</v>
      </c>
      <c r="U208" s="1530" cm="1">
        <f t="array" aca="1" ref="U208" ca="1">IFERROR(INDEX('Eléments de constr. inté. et ex'!O:O, $F207)*$K208/$M208,0)/$I$1*(1-0.8*N208)</f>
        <v>0</v>
      </c>
      <c r="V208" s="1502" cm="1">
        <f t="array" aca="1" ref="V208" ca="1">IFERROR(INDEX('Eléments de constr. inté. et ex'!K:K, $F207)*$K208/$M208,0)/$I$1*(1-0.8*N208)</f>
        <v>0</v>
      </c>
      <c r="W208" s="1416">
        <f t="shared" ca="1" si="283"/>
        <v>0</v>
      </c>
      <c r="X208" s="1416">
        <f t="shared" ca="1" si="283"/>
        <v>0</v>
      </c>
      <c r="Y208" s="256" cm="1">
        <f t="array" aca="1" ref="Y208" ca="1">_xlfn.SWITCH(T208,Y$3,V208+Z208,W$3,W208,0)</f>
        <v>0</v>
      </c>
      <c r="Z208" s="1410" cm="1">
        <f t="array" aca="1" ref="Z208" ca="1">IFERROR(INDEX('Eléments de constr. inté. et ex'!L:L, $F207)*$K208/$M208,0)/$I$1*(1-0.8*N208)</f>
        <v>0</v>
      </c>
      <c r="AA208" s="1460">
        <f t="shared" ca="1" si="318"/>
        <v>0</v>
      </c>
      <c r="AB208" s="1460"/>
    </row>
    <row r="209" spans="2:28" ht="15.75" outlineLevel="1">
      <c r="B209" s="1871"/>
      <c r="C209" s="1874"/>
      <c r="D209" s="163"/>
      <c r="E209" s="282"/>
      <c r="F209" s="163">
        <f t="shared" ca="1" si="316"/>
        <v>2</v>
      </c>
      <c r="G209" s="163" cm="1">
        <f t="array" aca="1" ref="G209" ca="1">INDEX( 'Eléments de constr. inté. et ex'!C:C, $F208)</f>
        <v>0</v>
      </c>
      <c r="H209" s="163" cm="1">
        <f t="array" aca="1" ref="H209" ca="1">INDEX( 'Eléments de constr. inté. et ex'!D:D, $F208)</f>
        <v>0</v>
      </c>
      <c r="I209" s="163" cm="1">
        <f t="array" aca="1" ref="I209" ca="1">INDEX( 'Eléments de constr. inté. et ex'!G:G, $F208)</f>
        <v>0</v>
      </c>
      <c r="J209" s="163">
        <f ca="1">_xlfn.XLOOKUP($I209,'Baumaterialien Matériaux'!A:A,'Baumaterialien Matériaux'!G:G,0,0)</f>
        <v>0</v>
      </c>
      <c r="K209" s="262">
        <f t="shared" ca="1" si="319"/>
        <v>0</v>
      </c>
      <c r="L209" s="163" cm="1">
        <f t="array" aca="1" ref="L209" ca="1">INDEX( 'Eléments de constr. inté. et ex'!J:J, $F208)</f>
        <v>0</v>
      </c>
      <c r="M209" s="1522" cm="1">
        <f t="array" aca="1" ref="M209" ca="1">INDEX( 'Eléments de constr. inté. et ex'!H:H, $F208)</f>
        <v>0</v>
      </c>
      <c r="N209" s="1627">
        <f>'Outil détaillé'!E$48</f>
        <v>0</v>
      </c>
      <c r="O209" s="1502" cm="1">
        <f t="array" aca="1" ref="O209" ca="1">IFERROR(INDEX('Eléments de constr. inté. et ex'!M:M, $F208)*$K209/$M209,0)/$I$1*(1-0.8*N209)</f>
        <v>0</v>
      </c>
      <c r="P209" s="1416">
        <f t="shared" ca="1" si="281"/>
        <v>0</v>
      </c>
      <c r="Q209" s="1416">
        <f t="shared" ca="1" si="281"/>
        <v>0</v>
      </c>
      <c r="R209" s="256" cm="1">
        <f t="array" aca="1" ref="R209" ca="1">_xlfn.SWITCH(L209,R$3,O209+S209,P$3,P209,0)</f>
        <v>0</v>
      </c>
      <c r="S209" s="1410" cm="1">
        <f t="array" aca="1" ref="S209" ca="1">IFERROR(INDEX('Eléments de constr. inté. et ex'!N:N, $F208)*$K209/$M209,0)/$I$1*(1-0.8*N209)</f>
        <v>0</v>
      </c>
      <c r="T209" s="1411">
        <f t="shared" ca="1" si="317"/>
        <v>0</v>
      </c>
      <c r="U209" s="1530" cm="1">
        <f t="array" aca="1" ref="U209" ca="1">IFERROR(INDEX('Eléments de constr. inté. et ex'!O:O, $F208)*$K209/$M209,0)/$I$1*(1-0.8*N209)</f>
        <v>0</v>
      </c>
      <c r="V209" s="1502" cm="1">
        <f t="array" aca="1" ref="V209" ca="1">IFERROR(INDEX('Eléments de constr. inté. et ex'!K:K, $F208)*$K209/$M209,0)/$I$1*(1-0.8*N209)</f>
        <v>0</v>
      </c>
      <c r="W209" s="1416">
        <f t="shared" ca="1" si="283"/>
        <v>0</v>
      </c>
      <c r="X209" s="1416">
        <f t="shared" ca="1" si="283"/>
        <v>0</v>
      </c>
      <c r="Y209" s="256" cm="1">
        <f t="array" aca="1" ref="Y209" ca="1">_xlfn.SWITCH(T209,Y$3,V209+Z209,W$3,W209,0)</f>
        <v>0</v>
      </c>
      <c r="Z209" s="1410" cm="1">
        <f t="array" aca="1" ref="Z209" ca="1">IFERROR(INDEX('Eléments de constr. inté. et ex'!L:L, $F208)*$K209/$M209,0)/$I$1*(1-0.8*N209)</f>
        <v>0</v>
      </c>
      <c r="AA209" s="1460">
        <f t="shared" ca="1" si="318"/>
        <v>0</v>
      </c>
      <c r="AB209" s="1460"/>
    </row>
    <row r="210" spans="2:28" ht="15.75" outlineLevel="1">
      <c r="B210" s="1871"/>
      <c r="C210" s="1874"/>
      <c r="D210" s="163"/>
      <c r="E210" s="282"/>
      <c r="F210" s="163">
        <f t="shared" ca="1" si="316"/>
        <v>2</v>
      </c>
      <c r="G210" s="163" cm="1">
        <f t="array" aca="1" ref="G210" ca="1">INDEX( 'Eléments de constr. inté. et ex'!C:C, $F209)</f>
        <v>0</v>
      </c>
      <c r="H210" s="163" cm="1">
        <f t="array" aca="1" ref="H210" ca="1">INDEX( 'Eléments de constr. inté. et ex'!D:D, $F209)</f>
        <v>0</v>
      </c>
      <c r="I210" s="163" cm="1">
        <f t="array" aca="1" ref="I210" ca="1">INDEX( 'Eléments de constr. inté. et ex'!G:G, $F209)</f>
        <v>0</v>
      </c>
      <c r="J210" s="163">
        <f ca="1">_xlfn.XLOOKUP($I210,'Baumaterialien Matériaux'!A:A,'Baumaterialien Matériaux'!G:G,0,0)</f>
        <v>0</v>
      </c>
      <c r="K210" s="262">
        <f t="shared" ca="1" si="319"/>
        <v>0</v>
      </c>
      <c r="L210" s="163" cm="1">
        <f t="array" aca="1" ref="L210" ca="1">INDEX( 'Eléments de constr. inté. et ex'!J:J, $F209)</f>
        <v>0</v>
      </c>
      <c r="M210" s="1522" cm="1">
        <f t="array" aca="1" ref="M210" ca="1">INDEX( 'Eléments de constr. inté. et ex'!H:H, $F209)</f>
        <v>0</v>
      </c>
      <c r="N210" s="1627">
        <f>'Outil détaillé'!E$48</f>
        <v>0</v>
      </c>
      <c r="O210" s="1502" cm="1">
        <f t="array" aca="1" ref="O210" ca="1">IFERROR(INDEX('Eléments de constr. inté. et ex'!M:M, $F209)*$K210/$M210,0)/$I$1*(1-0.8*N210)</f>
        <v>0</v>
      </c>
      <c r="P210" s="1416">
        <f t="shared" ca="1" si="281"/>
        <v>0</v>
      </c>
      <c r="Q210" s="1416">
        <f t="shared" ca="1" si="281"/>
        <v>0</v>
      </c>
      <c r="R210" s="256" cm="1">
        <f t="array" aca="1" ref="R210" ca="1">_xlfn.SWITCH(L210,R$3,O210+S210,P$3,P210,0)</f>
        <v>0</v>
      </c>
      <c r="S210" s="1410" cm="1">
        <f t="array" aca="1" ref="S210" ca="1">IFERROR(INDEX('Eléments de constr. inté. et ex'!N:N, $F209)*$K210/$M210,0)/$I$1*(1-0.8*N210)</f>
        <v>0</v>
      </c>
      <c r="T210" s="1411">
        <f t="shared" ca="1" si="317"/>
        <v>0</v>
      </c>
      <c r="U210" s="1530" cm="1">
        <f t="array" aca="1" ref="U210" ca="1">IFERROR(INDEX('Eléments de constr. inté. et ex'!O:O, $F209)*$K210/$M210,0)/$I$1*(1-0.8*N210)</f>
        <v>0</v>
      </c>
      <c r="V210" s="1502" cm="1">
        <f t="array" aca="1" ref="V210" ca="1">IFERROR(INDEX('Eléments de constr. inté. et ex'!K:K, $F209)*$K210/$M210,0)/$I$1*(1-0.8*N210)</f>
        <v>0</v>
      </c>
      <c r="W210" s="1416">
        <f t="shared" ca="1" si="283"/>
        <v>0</v>
      </c>
      <c r="X210" s="1416">
        <f t="shared" ca="1" si="283"/>
        <v>0</v>
      </c>
      <c r="Y210" s="256" cm="1">
        <f t="array" aca="1" ref="Y210" ca="1">_xlfn.SWITCH(T210,Y$3,V210+Z210,W$3,W210,0)</f>
        <v>0</v>
      </c>
      <c r="Z210" s="1410" cm="1">
        <f t="array" aca="1" ref="Z210" ca="1">IFERROR(INDEX('Eléments de constr. inté. et ex'!L:L, $F209)*$K210/$M210,0)/$I$1*(1-0.8*N210)</f>
        <v>0</v>
      </c>
      <c r="AA210" s="1460">
        <f t="shared" ca="1" si="318"/>
        <v>0</v>
      </c>
      <c r="AB210" s="1460"/>
    </row>
    <row r="211" spans="2:28" ht="15.75">
      <c r="B211" s="1871"/>
      <c r="C211" s="1874"/>
      <c r="D211" s="163" t="s">
        <v>103</v>
      </c>
      <c r="E211" s="164" t="str">
        <f>'Outil détaillé'!F49</f>
        <v xml:space="preserve">Revêtement de sol fini mixte </v>
      </c>
      <c r="F211" s="801">
        <f ca="1">MATCH(E211, INDIRECT("'Eléments de constr. inté. et ex'!A"&amp;F182+1&amp;":A500"),0)+F182</f>
        <v>101</v>
      </c>
      <c r="G211" s="164"/>
      <c r="H211" s="164"/>
      <c r="I211" s="164"/>
      <c r="J211" s="164" t="s">
        <v>87</v>
      </c>
      <c r="K211" s="270">
        <f>'Outil détaillé'!K49</f>
        <v>0</v>
      </c>
      <c r="L211" s="271"/>
      <c r="M211" s="1467"/>
      <c r="N211" s="1623"/>
      <c r="O211" s="1488">
        <f t="shared" ref="O211" ca="1" si="320">SUM(O212:O218)</f>
        <v>0</v>
      </c>
      <c r="P211" s="1489">
        <f t="shared" ref="P211:U211" ca="1" si="321">SUM(P212:P218)</f>
        <v>0</v>
      </c>
      <c r="Q211" s="1489">
        <f t="shared" ca="1" si="321"/>
        <v>0</v>
      </c>
      <c r="R211" s="1489">
        <f t="shared" ca="1" si="321"/>
        <v>0</v>
      </c>
      <c r="S211" s="1489">
        <f t="shared" ca="1" si="321"/>
        <v>0</v>
      </c>
      <c r="T211" s="1489">
        <f t="shared" ca="1" si="321"/>
        <v>0</v>
      </c>
      <c r="U211" s="1490">
        <f t="shared" ca="1" si="321"/>
        <v>0</v>
      </c>
      <c r="V211" s="1488">
        <f t="shared" ref="V211" ca="1" si="322">SUM(V212:V218)</f>
        <v>0</v>
      </c>
      <c r="W211" s="1489">
        <f t="shared" ref="W211:Z211" ca="1" si="323">SUM(W212:W218)</f>
        <v>0</v>
      </c>
      <c r="X211" s="1489">
        <f t="shared" ca="1" si="323"/>
        <v>0</v>
      </c>
      <c r="Y211" s="1489">
        <f t="shared" ca="1" si="323"/>
        <v>0</v>
      </c>
      <c r="Z211" s="1489">
        <f t="shared" ca="1" si="323"/>
        <v>0</v>
      </c>
      <c r="AA211" s="1490">
        <f t="shared" ref="AA211" ca="1" si="324">SUM(AA212:AA218)</f>
        <v>0</v>
      </c>
      <c r="AB211" s="1490"/>
    </row>
    <row r="212" spans="2:28" ht="15.75" outlineLevel="1">
      <c r="B212" s="1871"/>
      <c r="C212" s="1874"/>
      <c r="D212" s="163"/>
      <c r="E212" s="163"/>
      <c r="F212" s="163">
        <f t="shared" ref="F212:F218" ca="1" si="325">IF(I212=0,2,F211+1)</f>
        <v>102</v>
      </c>
      <c r="G212" s="163" t="str" cm="1">
        <f t="array" aca="1" ref="G212" ca="1">INDEX( 'Eléments de constr. inté. et ex'!C:C, $F211)</f>
        <v>Parkett 2-Schicht werkversiegelt, 11 mm [m2]</v>
      </c>
      <c r="H212" s="163" t="str" cm="1">
        <f t="array" aca="1" ref="H212" ca="1">INDEX( 'Eléments de constr. inté. et ex'!D:D, $F211)</f>
        <v>Parquet, 2 plis, vitrifié d'usine, 11 mm</v>
      </c>
      <c r="I212" s="163" t="str" cm="1">
        <f t="array" aca="1" ref="I212" ca="1">INDEX( 'Eléments de constr. inté. et ex'!G:G, $F211)</f>
        <v>11.018</v>
      </c>
      <c r="J212" s="163" t="str">
        <f ca="1">_xlfn.XLOOKUP($I212,'Baumaterialien Matériaux'!A:A,'Baumaterialien Matériaux'!G:G,0,0)</f>
        <v>m2</v>
      </c>
      <c r="K212" s="262">
        <f t="shared" ref="K212:K219" ca="1" si="326">M212*$K$211</f>
        <v>0</v>
      </c>
      <c r="L212" s="163" cm="1">
        <f t="array" aca="1" ref="L212" ca="1">INDEX( 'Eléments de constr. inté. et ex'!J:J, $F211)</f>
        <v>30</v>
      </c>
      <c r="M212" s="1522" cm="1">
        <f t="array" aca="1" ref="M212" ca="1">INDEX( 'Eléments de constr. inté. et ex'!H:H, $F211)</f>
        <v>0.7</v>
      </c>
      <c r="N212" s="1627">
        <f>'Outil détaillé'!E$49</f>
        <v>0</v>
      </c>
      <c r="O212" s="1502" cm="1">
        <f t="array" aca="1" ref="O212" ca="1">IFERROR(INDEX('Eléments de constr. inté. et ex'!M:M, $F211)*$K212/$M212,0)/$I$1*(1-0.8*N212)</f>
        <v>0</v>
      </c>
      <c r="P212" s="1416">
        <f t="shared" ca="1" si="281"/>
        <v>0</v>
      </c>
      <c r="Q212" s="1416">
        <f t="shared" ca="1" si="281"/>
        <v>0</v>
      </c>
      <c r="R212" s="256" cm="1">
        <f t="array" aca="1" ref="R212" ca="1">_xlfn.SWITCH(L212,R$3,O212+S212,P$3,P212,0)</f>
        <v>0</v>
      </c>
      <c r="S212" s="1410" cm="1">
        <f t="array" aca="1" ref="S212" ca="1">IFERROR(INDEX('Eléments de constr. inté. et ex'!N:N, $F211)*$K212/$M212,0)/$I$1*(1-0.8*N212)</f>
        <v>0</v>
      </c>
      <c r="T212" s="1411">
        <f t="shared" ref="T212:T219" ca="1" si="327">SUM(O212:S212)</f>
        <v>0</v>
      </c>
      <c r="U212" s="1530" cm="1">
        <f t="array" aca="1" ref="U212" ca="1">IFERROR(INDEX('Eléments de constr. inté. et ex'!O:O, $F211)*$K212/$M212,0)/$I$1*(1-0.8*N212)</f>
        <v>0</v>
      </c>
      <c r="V212" s="1502" cm="1">
        <f t="array" aca="1" ref="V212" ca="1">IFERROR(INDEX('Eléments de constr. inté. et ex'!K:K, $F211)*$K212/$M212,0)/$I$1*(1-0.8*N212)</f>
        <v>0</v>
      </c>
      <c r="W212" s="1416">
        <f t="shared" ca="1" si="283"/>
        <v>0</v>
      </c>
      <c r="X212" s="1416">
        <f t="shared" ca="1" si="283"/>
        <v>0</v>
      </c>
      <c r="Y212" s="256" cm="1">
        <f t="array" aca="1" ref="Y212" ca="1">_xlfn.SWITCH(T212,Y$3,V212+Z212,W$3,W212,0)</f>
        <v>0</v>
      </c>
      <c r="Z212" s="1410" cm="1">
        <f t="array" aca="1" ref="Z212" ca="1">IFERROR(INDEX('Eléments de constr. inté. et ex'!L:L, $F211)*$K212/$M212,0)/$I$1*(1-0.8*N212)</f>
        <v>0</v>
      </c>
      <c r="AA212" s="1460">
        <f t="shared" ref="AA212:AA219" ca="1" si="328">SUM(V212:Z212)</f>
        <v>0</v>
      </c>
      <c r="AB212" s="1460"/>
    </row>
    <row r="213" spans="2:28" ht="15.75" outlineLevel="1">
      <c r="B213" s="1871"/>
      <c r="C213" s="1874"/>
      <c r="D213" s="163"/>
      <c r="E213" s="163"/>
      <c r="F213" s="163">
        <f t="shared" ca="1" si="325"/>
        <v>103</v>
      </c>
      <c r="G213" s="163" t="str" cm="1">
        <f t="array" aca="1" ref="G213" ca="1">INDEX( 'Eléments de constr. inté. et ex'!C:C, $F212)</f>
        <v>Klebstoff [kg]</v>
      </c>
      <c r="H213" s="163" t="str" cm="1">
        <f t="array" aca="1" ref="H213" ca="1">INDEX( 'Eléments de constr. inté. et ex'!D:D, $F212)</f>
        <v>Colle bicomposant</v>
      </c>
      <c r="I213" s="163" t="str" cm="1">
        <f t="array" aca="1" ref="I213" ca="1">INDEX( 'Eléments de constr. inté. et ex'!G:G, $F212)</f>
        <v>08.001</v>
      </c>
      <c r="J213" s="163" t="str">
        <f ca="1">_xlfn.XLOOKUP($I213,'Baumaterialien Matériaux'!A:A,'Baumaterialien Matériaux'!G:G,0,0)</f>
        <v>kg</v>
      </c>
      <c r="K213" s="262">
        <f t="shared" ca="1" si="326"/>
        <v>0</v>
      </c>
      <c r="L213" s="163" cm="1">
        <f t="array" aca="1" ref="L213" ca="1">INDEX( 'Eléments de constr. inté. et ex'!J:J, $F212)</f>
        <v>30</v>
      </c>
      <c r="M213" s="1522" cm="1">
        <f t="array" aca="1" ref="M213" ca="1">INDEX( 'Eléments de constr. inté. et ex'!H:H, $F212)</f>
        <v>0.7</v>
      </c>
      <c r="N213" s="1627">
        <f>'Outil détaillé'!E$49</f>
        <v>0</v>
      </c>
      <c r="O213" s="1502" cm="1">
        <f t="array" aca="1" ref="O213" ca="1">IFERROR(INDEX('Eléments de constr. inté. et ex'!M:M, $F212)*$K213/$M213,0)/$I$1*(1-0.8*N213)</f>
        <v>0</v>
      </c>
      <c r="P213" s="1416">
        <f t="shared" ca="1" si="281"/>
        <v>0</v>
      </c>
      <c r="Q213" s="1416">
        <f t="shared" ca="1" si="281"/>
        <v>0</v>
      </c>
      <c r="R213" s="256" cm="1">
        <f t="array" aca="1" ref="R213" ca="1">_xlfn.SWITCH(L213,R$3,O213+S213,P$3,P213,0)</f>
        <v>0</v>
      </c>
      <c r="S213" s="1410" cm="1">
        <f t="array" aca="1" ref="S213" ca="1">IFERROR(INDEX('Eléments de constr. inté. et ex'!N:N, $F212)*$K213/$M213,0)/$I$1*(1-0.8*N213)</f>
        <v>0</v>
      </c>
      <c r="T213" s="1411">
        <f t="shared" ca="1" si="327"/>
        <v>0</v>
      </c>
      <c r="U213" s="1530" cm="1">
        <f t="array" aca="1" ref="U213" ca="1">IFERROR(INDEX('Eléments de constr. inté. et ex'!O:O, $F212)*$K213/$M213,0)/$I$1*(1-0.8*N213)</f>
        <v>0</v>
      </c>
      <c r="V213" s="1502" cm="1">
        <f t="array" aca="1" ref="V213" ca="1">IFERROR(INDEX('Eléments de constr. inté. et ex'!K:K, $F212)*$K213/$M213,0)/$I$1*(1-0.8*N213)</f>
        <v>0</v>
      </c>
      <c r="W213" s="1416">
        <f t="shared" ca="1" si="283"/>
        <v>0</v>
      </c>
      <c r="X213" s="1416">
        <f t="shared" ca="1" si="283"/>
        <v>0</v>
      </c>
      <c r="Y213" s="256" cm="1">
        <f t="array" aca="1" ref="Y213" ca="1">_xlfn.SWITCH(T213,Y$3,V213+Z213,W$3,W213,0)</f>
        <v>0</v>
      </c>
      <c r="Z213" s="1410" cm="1">
        <f t="array" aca="1" ref="Z213" ca="1">IFERROR(INDEX('Eléments de constr. inté. et ex'!L:L, $F212)*$K213/$M213,0)/$I$1*(1-0.8*N213)</f>
        <v>0</v>
      </c>
      <c r="AA213" s="1460">
        <f t="shared" ca="1" si="328"/>
        <v>0</v>
      </c>
      <c r="AB213" s="1460"/>
    </row>
    <row r="214" spans="2:28" ht="15.75" outlineLevel="1">
      <c r="B214" s="1871"/>
      <c r="C214" s="1874"/>
      <c r="D214" s="163"/>
      <c r="E214" s="163"/>
      <c r="F214" s="163">
        <f t="shared" ca="1" si="325"/>
        <v>104</v>
      </c>
      <c r="G214" s="163" t="str" cm="1">
        <f t="array" aca="1" ref="G214" ca="1">INDEX( 'Eléments de constr. inté. et ex'!C:C, $F213)</f>
        <v>Keramikplatten 9mm [m2]</v>
      </c>
      <c r="H214" s="163" t="str" cm="1">
        <f t="array" aca="1" ref="H214" ca="1">INDEX( 'Eléments de constr. inté. et ex'!D:D, $F213)</f>
        <v>Dalle en céramique/grès, 9 mm</v>
      </c>
      <c r="I214" s="163" t="str" cm="1">
        <f t="array" aca="1" ref="I214" ca="1">INDEX( 'Eléments de constr. inté. et ex'!G:G, $F213)</f>
        <v>11.008</v>
      </c>
      <c r="J214" s="163" t="str">
        <f ca="1">_xlfn.XLOOKUP($I214,'Baumaterialien Matériaux'!A:A,'Baumaterialien Matériaux'!G:G,0,0)</f>
        <v>m2</v>
      </c>
      <c r="K214" s="262">
        <f t="shared" ca="1" si="326"/>
        <v>0</v>
      </c>
      <c r="L214" s="163" cm="1">
        <f t="array" aca="1" ref="L214" ca="1">INDEX( 'Eléments de constr. inté. et ex'!J:J, $F213)</f>
        <v>30</v>
      </c>
      <c r="M214" s="1522" cm="1">
        <f t="array" aca="1" ref="M214" ca="1">INDEX( 'Eléments de constr. inté. et ex'!H:H, $F213)</f>
        <v>0.3</v>
      </c>
      <c r="N214" s="1627">
        <f>'Outil détaillé'!E$49</f>
        <v>0</v>
      </c>
      <c r="O214" s="1502" cm="1">
        <f t="array" aca="1" ref="O214" ca="1">IFERROR(INDEX('Eléments de constr. inté. et ex'!M:M, $F213)*$K214/$M214,0)/$I$1*(1-0.8*N214)</f>
        <v>0</v>
      </c>
      <c r="P214" s="1416">
        <f t="shared" ca="1" si="281"/>
        <v>0</v>
      </c>
      <c r="Q214" s="1416">
        <f t="shared" ca="1" si="281"/>
        <v>0</v>
      </c>
      <c r="R214" s="256" cm="1">
        <f t="array" aca="1" ref="R214" ca="1">_xlfn.SWITCH(L214,R$3,O214+S214,P$3,P214,0)</f>
        <v>0</v>
      </c>
      <c r="S214" s="1410" cm="1">
        <f t="array" aca="1" ref="S214" ca="1">IFERROR(INDEX('Eléments de constr. inté. et ex'!N:N, $F213)*$K214/$M214,0)/$I$1*(1-0.8*N214)</f>
        <v>0</v>
      </c>
      <c r="T214" s="1411">
        <f t="shared" ca="1" si="327"/>
        <v>0</v>
      </c>
      <c r="U214" s="1530" cm="1">
        <f t="array" aca="1" ref="U214" ca="1">IFERROR(INDEX('Eléments de constr. inté. et ex'!O:O, $F213)*$K214/$M214,0)/$I$1*(1-0.8*N214)</f>
        <v>0</v>
      </c>
      <c r="V214" s="1502" cm="1">
        <f t="array" aca="1" ref="V214" ca="1">IFERROR(INDEX('Eléments de constr. inté. et ex'!K:K, $F213)*$K214/$M214,0)/$I$1*(1-0.8*N214)</f>
        <v>0</v>
      </c>
      <c r="W214" s="1416">
        <f t="shared" ca="1" si="283"/>
        <v>0</v>
      </c>
      <c r="X214" s="1416">
        <f t="shared" ca="1" si="283"/>
        <v>0</v>
      </c>
      <c r="Y214" s="256" cm="1">
        <f t="array" aca="1" ref="Y214" ca="1">_xlfn.SWITCH(T214,Y$3,V214+Z214,W$3,W214,0)</f>
        <v>0</v>
      </c>
      <c r="Z214" s="1410" cm="1">
        <f t="array" aca="1" ref="Z214" ca="1">IFERROR(INDEX('Eléments de constr. inté. et ex'!L:L, $F213)*$K214/$M214,0)/$I$1*(1-0.8*N214)</f>
        <v>0</v>
      </c>
      <c r="AA214" s="1460">
        <f t="shared" ca="1" si="328"/>
        <v>0</v>
      </c>
      <c r="AB214" s="1460"/>
    </row>
    <row r="215" spans="2:28" ht="15.75" outlineLevel="1">
      <c r="B215" s="1871"/>
      <c r="C215" s="1874"/>
      <c r="D215" s="163"/>
      <c r="E215" s="163"/>
      <c r="F215" s="163">
        <f t="shared" ca="1" si="325"/>
        <v>105</v>
      </c>
      <c r="G215" s="163" t="str" cm="1">
        <f t="array" aca="1" ref="G215" ca="1">INDEX( 'Eléments de constr. inté. et ex'!C:C, $F214)</f>
        <v>Klebemörtel [kg]</v>
      </c>
      <c r="H215" s="163" t="str" cm="1">
        <f t="array" aca="1" ref="H215" ca="1">INDEX( 'Eléments de constr. inté. et ex'!D:D, $F214)</f>
        <v xml:space="preserve">Colle de construction/mortier d'enrobage minéral(e) </v>
      </c>
      <c r="I215" s="163" t="str" cm="1">
        <f t="array" aca="1" ref="I215" ca="1">INDEX( 'Eléments de constr. inté. et ex'!G:G, $F214)</f>
        <v>04.008</v>
      </c>
      <c r="J215" s="163" t="str">
        <f ca="1">_xlfn.XLOOKUP($I215,'Baumaterialien Matériaux'!A:A,'Baumaterialien Matériaux'!G:G,0,0)</f>
        <v>kg</v>
      </c>
      <c r="K215" s="262">
        <f t="shared" ca="1" si="326"/>
        <v>0</v>
      </c>
      <c r="L215" s="163" cm="1">
        <f t="array" aca="1" ref="L215" ca="1">INDEX( 'Eléments de constr. inté. et ex'!J:J, $F214)</f>
        <v>30</v>
      </c>
      <c r="M215" s="1522" cm="1">
        <f t="array" aca="1" ref="M215" ca="1">INDEX( 'Eléments de constr. inté. et ex'!H:H, $F214)</f>
        <v>3.9</v>
      </c>
      <c r="N215" s="1627">
        <f>'Outil détaillé'!E$49</f>
        <v>0</v>
      </c>
      <c r="O215" s="1502" cm="1">
        <f t="array" aca="1" ref="O215" ca="1">IFERROR(INDEX('Eléments de constr. inté. et ex'!M:M, $F214)*$K215/$M215,0)/$I$1*(1-0.8*N215)</f>
        <v>0</v>
      </c>
      <c r="P215" s="1416">
        <f t="shared" ca="1" si="281"/>
        <v>0</v>
      </c>
      <c r="Q215" s="1416">
        <f t="shared" ca="1" si="281"/>
        <v>0</v>
      </c>
      <c r="R215" s="256" cm="1">
        <f t="array" aca="1" ref="R215" ca="1">_xlfn.SWITCH(L215,R$3,O215+S215,P$3,P215,0)</f>
        <v>0</v>
      </c>
      <c r="S215" s="1410" cm="1">
        <f t="array" aca="1" ref="S215" ca="1">IFERROR(INDEX('Eléments de constr. inté. et ex'!N:N, $F214)*$K215/$M215,0)/$I$1*(1-0.8*N215)</f>
        <v>0</v>
      </c>
      <c r="T215" s="1411">
        <f t="shared" ca="1" si="327"/>
        <v>0</v>
      </c>
      <c r="U215" s="1530" cm="1">
        <f t="array" aca="1" ref="U215" ca="1">IFERROR(INDEX('Eléments de constr. inté. et ex'!O:O, $F214)*$K215/$M215,0)/$I$1*(1-0.8*N215)</f>
        <v>0</v>
      </c>
      <c r="V215" s="1502" cm="1">
        <f t="array" aca="1" ref="V215" ca="1">IFERROR(INDEX('Eléments de constr. inté. et ex'!K:K, $F214)*$K215/$M215,0)/$I$1*(1-0.8*N215)</f>
        <v>0</v>
      </c>
      <c r="W215" s="1416">
        <f t="shared" ca="1" si="283"/>
        <v>0</v>
      </c>
      <c r="X215" s="1416">
        <f t="shared" ca="1" si="283"/>
        <v>0</v>
      </c>
      <c r="Y215" s="256" cm="1">
        <f t="array" aca="1" ref="Y215" ca="1">_xlfn.SWITCH(T215,Y$3,V215+Z215,W$3,W215,0)</f>
        <v>0</v>
      </c>
      <c r="Z215" s="1410" cm="1">
        <f t="array" aca="1" ref="Z215" ca="1">IFERROR(INDEX('Eléments de constr. inté. et ex'!L:L, $F214)*$K215/$M215,0)/$I$1*(1-0.8*N215)</f>
        <v>0</v>
      </c>
      <c r="AA215" s="1460">
        <f t="shared" ca="1" si="328"/>
        <v>0</v>
      </c>
      <c r="AB215" s="1460"/>
    </row>
    <row r="216" spans="2:28" ht="15.75" outlineLevel="1">
      <c r="B216" s="1871"/>
      <c r="C216" s="1874"/>
      <c r="D216" s="163"/>
      <c r="E216" s="163"/>
      <c r="F216" s="163">
        <f t="shared" ca="1" si="325"/>
        <v>2</v>
      </c>
      <c r="G216" s="163" cm="1">
        <f t="array" aca="1" ref="G216" ca="1">INDEX( 'Eléments de constr. inté. et ex'!C:C, $F215)</f>
        <v>0</v>
      </c>
      <c r="H216" s="163" cm="1">
        <f t="array" aca="1" ref="H216" ca="1">INDEX( 'Eléments de constr. inté. et ex'!D:D, $F215)</f>
        <v>0</v>
      </c>
      <c r="I216" s="163" cm="1">
        <f t="array" aca="1" ref="I216" ca="1">INDEX( 'Eléments de constr. inté. et ex'!G:G, $F215)</f>
        <v>0</v>
      </c>
      <c r="J216" s="163">
        <f ca="1">_xlfn.XLOOKUP($I216,'Baumaterialien Matériaux'!A:A,'Baumaterialien Matériaux'!G:G,0,0)</f>
        <v>0</v>
      </c>
      <c r="K216" s="262">
        <f t="shared" ca="1" si="326"/>
        <v>0</v>
      </c>
      <c r="L216" s="163" cm="1">
        <f t="array" aca="1" ref="L216" ca="1">INDEX( 'Eléments de constr. inté. et ex'!J:J, $F215)</f>
        <v>0</v>
      </c>
      <c r="M216" s="1522" cm="1">
        <f t="array" aca="1" ref="M216" ca="1">INDEX( 'Eléments de constr. inté. et ex'!H:H, $F215)</f>
        <v>0</v>
      </c>
      <c r="N216" s="1627">
        <f>'Outil détaillé'!E$49</f>
        <v>0</v>
      </c>
      <c r="O216" s="1502" cm="1">
        <f t="array" aca="1" ref="O216" ca="1">IFERROR(INDEX('Eléments de constr. inté. et ex'!M:M, $F215)*$K216/$M216,0)/$I$1*(1-0.8*N216)</f>
        <v>0</v>
      </c>
      <c r="P216" s="1416">
        <f t="shared" ca="1" si="281"/>
        <v>0</v>
      </c>
      <c r="Q216" s="1416">
        <f t="shared" ca="1" si="281"/>
        <v>0</v>
      </c>
      <c r="R216" s="256" cm="1">
        <f t="array" aca="1" ref="R216" ca="1">_xlfn.SWITCH(L216,R$3,O216+S216,P$3,P216,0)</f>
        <v>0</v>
      </c>
      <c r="S216" s="1410" cm="1">
        <f t="array" aca="1" ref="S216" ca="1">IFERROR(INDEX('Eléments de constr. inté. et ex'!N:N, $F215)*$K216/$M216,0)/$I$1*(1-0.8*N216)</f>
        <v>0</v>
      </c>
      <c r="T216" s="1411">
        <f t="shared" ca="1" si="327"/>
        <v>0</v>
      </c>
      <c r="U216" s="1530" cm="1">
        <f t="array" aca="1" ref="U216" ca="1">IFERROR(INDEX('Eléments de constr. inté. et ex'!O:O, $F215)*$K216/$M216,0)/$I$1*(1-0.8*N216)</f>
        <v>0</v>
      </c>
      <c r="V216" s="1502" cm="1">
        <f t="array" aca="1" ref="V216" ca="1">IFERROR(INDEX('Eléments de constr. inté. et ex'!K:K, $F215)*$K216/$M216,0)/$I$1*(1-0.8*N216)</f>
        <v>0</v>
      </c>
      <c r="W216" s="1416">
        <f t="shared" ca="1" si="283"/>
        <v>0</v>
      </c>
      <c r="X216" s="1416">
        <f t="shared" ca="1" si="283"/>
        <v>0</v>
      </c>
      <c r="Y216" s="256" cm="1">
        <f t="array" aca="1" ref="Y216" ca="1">_xlfn.SWITCH(T216,Y$3,V216+Z216,W$3,W216,0)</f>
        <v>0</v>
      </c>
      <c r="Z216" s="1410" cm="1">
        <f t="array" aca="1" ref="Z216" ca="1">IFERROR(INDEX('Eléments de constr. inté. et ex'!L:L, $F215)*$K216/$M216,0)/$I$1*(1-0.8*N216)</f>
        <v>0</v>
      </c>
      <c r="AA216" s="1460">
        <f t="shared" ca="1" si="328"/>
        <v>0</v>
      </c>
      <c r="AB216" s="1460"/>
    </row>
    <row r="217" spans="2:28" ht="15.75" customHeight="1" outlineLevel="1">
      <c r="B217" s="1871"/>
      <c r="C217" s="1874"/>
      <c r="D217" s="163"/>
      <c r="E217" s="163"/>
      <c r="F217" s="163">
        <f t="shared" ca="1" si="325"/>
        <v>2</v>
      </c>
      <c r="G217" s="163" cm="1">
        <f t="array" aca="1" ref="G217" ca="1">INDEX( 'Eléments de constr. inté. et ex'!C:C, $F216)</f>
        <v>0</v>
      </c>
      <c r="H217" s="163" cm="1">
        <f t="array" aca="1" ref="H217" ca="1">INDEX( 'Eléments de constr. inté. et ex'!D:D, $F216)</f>
        <v>0</v>
      </c>
      <c r="I217" s="163" cm="1">
        <f t="array" aca="1" ref="I217" ca="1">INDEX( 'Eléments de constr. inté. et ex'!G:G, $F216)</f>
        <v>0</v>
      </c>
      <c r="J217" s="163">
        <f ca="1">_xlfn.XLOOKUP($I217,'Baumaterialien Matériaux'!A:A,'Baumaterialien Matériaux'!G:G,0,0)</f>
        <v>0</v>
      </c>
      <c r="K217" s="262">
        <f t="shared" ca="1" si="326"/>
        <v>0</v>
      </c>
      <c r="L217" s="163" cm="1">
        <f t="array" aca="1" ref="L217" ca="1">INDEX( 'Eléments de constr. inté. et ex'!J:J, $F216)</f>
        <v>0</v>
      </c>
      <c r="M217" s="1522" cm="1">
        <f t="array" aca="1" ref="M217" ca="1">INDEX( 'Eléments de constr. inté. et ex'!H:H, $F216)</f>
        <v>0</v>
      </c>
      <c r="N217" s="1627">
        <f>'Outil détaillé'!E$49</f>
        <v>0</v>
      </c>
      <c r="O217" s="1502" cm="1">
        <f t="array" aca="1" ref="O217" ca="1">IFERROR(INDEX('Eléments de constr. inté. et ex'!M:M, $F216)*$K217/$M217,0)/$I$1*(1-0.8*N217)</f>
        <v>0</v>
      </c>
      <c r="P217" s="1416">
        <f t="shared" ca="1" si="281"/>
        <v>0</v>
      </c>
      <c r="Q217" s="1416">
        <f t="shared" ca="1" si="281"/>
        <v>0</v>
      </c>
      <c r="R217" s="256" cm="1">
        <f t="array" aca="1" ref="R217" ca="1">_xlfn.SWITCH(L217,R$3,O217+S217,P$3,P217,0)</f>
        <v>0</v>
      </c>
      <c r="S217" s="1410" cm="1">
        <f t="array" aca="1" ref="S217" ca="1">IFERROR(INDEX('Eléments de constr. inté. et ex'!N:N, $F216)*$K217/$M217,0)/$I$1*(1-0.8*N217)</f>
        <v>0</v>
      </c>
      <c r="T217" s="1411">
        <f t="shared" ca="1" si="327"/>
        <v>0</v>
      </c>
      <c r="U217" s="1530" cm="1">
        <f t="array" aca="1" ref="U217" ca="1">IFERROR(INDEX('Eléments de constr. inté. et ex'!O:O, $F216)*$K217/$M217,0)/$I$1*(1-0.8*N217)</f>
        <v>0</v>
      </c>
      <c r="V217" s="1502" cm="1">
        <f t="array" aca="1" ref="V217" ca="1">IFERROR(INDEX('Eléments de constr. inté. et ex'!K:K, $F216)*$K217/$M217,0)/$I$1*(1-0.8*N217)</f>
        <v>0</v>
      </c>
      <c r="W217" s="1416">
        <f t="shared" ca="1" si="283"/>
        <v>0</v>
      </c>
      <c r="X217" s="1416">
        <f t="shared" ca="1" si="283"/>
        <v>0</v>
      </c>
      <c r="Y217" s="256" cm="1">
        <f t="array" aca="1" ref="Y217" ca="1">_xlfn.SWITCH(T217,Y$3,V217+Z217,W$3,W217,0)</f>
        <v>0</v>
      </c>
      <c r="Z217" s="1410" cm="1">
        <f t="array" aca="1" ref="Z217" ca="1">IFERROR(INDEX('Eléments de constr. inté. et ex'!L:L, $F216)*$K217/$M217,0)/$I$1*(1-0.8*N217)</f>
        <v>0</v>
      </c>
      <c r="AA217" s="1460">
        <f t="shared" ca="1" si="328"/>
        <v>0</v>
      </c>
      <c r="AB217" s="1460"/>
    </row>
    <row r="218" spans="2:28" ht="15.75" outlineLevel="1">
      <c r="B218" s="1871"/>
      <c r="C218" s="1874"/>
      <c r="D218" s="163"/>
      <c r="E218" s="163"/>
      <c r="F218" s="163">
        <f t="shared" ca="1" si="325"/>
        <v>2</v>
      </c>
      <c r="G218" s="163" cm="1">
        <f t="array" aca="1" ref="G218" ca="1">INDEX( 'Eléments de constr. inté. et ex'!C:C, $F217)</f>
        <v>0</v>
      </c>
      <c r="H218" s="163" cm="1">
        <f t="array" aca="1" ref="H218" ca="1">INDEX( 'Eléments de constr. inté. et ex'!D:D, $F217)</f>
        <v>0</v>
      </c>
      <c r="I218" s="163" cm="1">
        <f t="array" aca="1" ref="I218" ca="1">INDEX( 'Eléments de constr. inté. et ex'!G:G, $F217)</f>
        <v>0</v>
      </c>
      <c r="J218" s="163">
        <f ca="1">_xlfn.XLOOKUP($I218,'Baumaterialien Matériaux'!A:A,'Baumaterialien Matériaux'!G:G,0,0)</f>
        <v>0</v>
      </c>
      <c r="K218" s="262">
        <f t="shared" ca="1" si="326"/>
        <v>0</v>
      </c>
      <c r="L218" s="163" cm="1">
        <f t="array" aca="1" ref="L218" ca="1">INDEX( 'Eléments de constr. inté. et ex'!J:J, $F217)</f>
        <v>0</v>
      </c>
      <c r="M218" s="1522" cm="1">
        <f t="array" aca="1" ref="M218" ca="1">INDEX( 'Eléments de constr. inté. et ex'!H:H, $F217)</f>
        <v>0</v>
      </c>
      <c r="N218" s="1627">
        <f>'Outil détaillé'!E$49</f>
        <v>0</v>
      </c>
      <c r="O218" s="1502" cm="1">
        <f t="array" aca="1" ref="O218" ca="1">IFERROR(INDEX('Eléments de constr. inté. et ex'!M:M, $F217)*$K218/$M218,0)/$I$1*(1-0.8*N218)</f>
        <v>0</v>
      </c>
      <c r="P218" s="1416">
        <f t="shared" ca="1" si="281"/>
        <v>0</v>
      </c>
      <c r="Q218" s="1416">
        <f t="shared" ca="1" si="281"/>
        <v>0</v>
      </c>
      <c r="R218" s="256" cm="1">
        <f t="array" aca="1" ref="R218" ca="1">_xlfn.SWITCH(L218,R$3,O218+S218,P$3,P218,0)</f>
        <v>0</v>
      </c>
      <c r="S218" s="1410" cm="1">
        <f t="array" aca="1" ref="S218" ca="1">IFERROR(INDEX('Eléments de constr. inté. et ex'!N:N, $F217)*$K218/$M218,0)/$I$1*(1-0.8*N218)</f>
        <v>0</v>
      </c>
      <c r="T218" s="1411">
        <f t="shared" ca="1" si="327"/>
        <v>0</v>
      </c>
      <c r="U218" s="1530" cm="1">
        <f t="array" aca="1" ref="U218" ca="1">IFERROR(INDEX('Eléments de constr. inté. et ex'!O:O, $F217)*$K218/$M218,0)/$I$1*(1-0.8*N218)</f>
        <v>0</v>
      </c>
      <c r="V218" s="1502" cm="1">
        <f t="array" aca="1" ref="V218" ca="1">IFERROR(INDEX('Eléments de constr. inté. et ex'!K:K, $F217)*$K218/$M218,0)/$I$1*(1-0.8*N218)</f>
        <v>0</v>
      </c>
      <c r="W218" s="1416">
        <f t="shared" ca="1" si="283"/>
        <v>0</v>
      </c>
      <c r="X218" s="1416">
        <f t="shared" ca="1" si="283"/>
        <v>0</v>
      </c>
      <c r="Y218" s="256" cm="1">
        <f t="array" aca="1" ref="Y218" ca="1">_xlfn.SWITCH(T218,Y$3,V218+Z218,W$3,W218,0)</f>
        <v>0</v>
      </c>
      <c r="Z218" s="1410" cm="1">
        <f t="array" aca="1" ref="Z218" ca="1">IFERROR(INDEX('Eléments de constr. inté. et ex'!L:L, $F217)*$K218/$M218,0)/$I$1*(1-0.8*N218)</f>
        <v>0</v>
      </c>
      <c r="AA218" s="1460">
        <f t="shared" ca="1" si="328"/>
        <v>0</v>
      </c>
      <c r="AB218" s="1460"/>
    </row>
    <row r="219" spans="2:28" ht="15.75" outlineLevel="1">
      <c r="B219" s="1871"/>
      <c r="C219" s="1874"/>
      <c r="D219" s="163"/>
      <c r="E219" s="163"/>
      <c r="F219" s="163">
        <f t="shared" ref="F219" ca="1" si="329">IF(I219=0,2,F218+1)</f>
        <v>2</v>
      </c>
      <c r="G219" s="163" cm="1">
        <f t="array" aca="1" ref="G219" ca="1">INDEX( 'Eléments de constr. inté. et ex'!C:C, $F218)</f>
        <v>0</v>
      </c>
      <c r="H219" s="163" cm="1">
        <f t="array" aca="1" ref="H219" ca="1">INDEX( 'Eléments de constr. inté. et ex'!D:D, $F218)</f>
        <v>0</v>
      </c>
      <c r="I219" s="163" cm="1">
        <f t="array" aca="1" ref="I219" ca="1">INDEX( 'Eléments de constr. inté. et ex'!G:G, $F218)</f>
        <v>0</v>
      </c>
      <c r="J219" s="163">
        <f ca="1">_xlfn.XLOOKUP($I219,'Baumaterialien Matériaux'!A:A,'Baumaterialien Matériaux'!G:G,0,0)</f>
        <v>0</v>
      </c>
      <c r="K219" s="262">
        <f t="shared" ca="1" si="326"/>
        <v>0</v>
      </c>
      <c r="L219" s="163" cm="1">
        <f t="array" aca="1" ref="L219" ca="1">INDEX( 'Eléments de constr. inté. et ex'!J:J, $F218)</f>
        <v>0</v>
      </c>
      <c r="M219" s="1522" cm="1">
        <f t="array" aca="1" ref="M219" ca="1">INDEX( 'Eléments de constr. inté. et ex'!H:H, $F218)</f>
        <v>0</v>
      </c>
      <c r="N219" s="1627">
        <f>'Outil détaillé'!E$49</f>
        <v>0</v>
      </c>
      <c r="O219" s="1502" cm="1">
        <f t="array" aca="1" ref="O219" ca="1">IFERROR(INDEX('Eléments de constr. inté. et ex'!M:M, $F218)*$K219/$M219,0)/$I$1*(1-0.8*N219)</f>
        <v>0</v>
      </c>
      <c r="P219" s="1416">
        <f t="shared" ca="1" si="281"/>
        <v>0</v>
      </c>
      <c r="Q219" s="1416">
        <f t="shared" ca="1" si="281"/>
        <v>0</v>
      </c>
      <c r="R219" s="256" cm="1">
        <f t="array" aca="1" ref="R219" ca="1">_xlfn.SWITCH(L219,R$3,O219+S219,P$3,P219,0)</f>
        <v>0</v>
      </c>
      <c r="S219" s="1410" cm="1">
        <f t="array" aca="1" ref="S219" ca="1">IFERROR(INDEX('Eléments de constr. inté. et ex'!N:N, $F218)*$K219/$M219,0)/$I$1*(1-0.8*N219)</f>
        <v>0</v>
      </c>
      <c r="T219" s="1411">
        <f t="shared" ca="1" si="327"/>
        <v>0</v>
      </c>
      <c r="U219" s="1530" cm="1">
        <f t="array" aca="1" ref="U219" ca="1">IFERROR(INDEX('Eléments de constr. inté. et ex'!O:O, $F218)*$K219/$M219,0)/$I$1*(1-0.8*N219)</f>
        <v>0</v>
      </c>
      <c r="V219" s="1502" cm="1">
        <f t="array" aca="1" ref="V219" ca="1">IFERROR(INDEX('Eléments de constr. inté. et ex'!K:K, $F218)*$K219/$M219,0)/$I$1*(1-0.8*N219)</f>
        <v>0</v>
      </c>
      <c r="W219" s="1416">
        <f t="shared" ca="1" si="283"/>
        <v>0</v>
      </c>
      <c r="X219" s="1416">
        <f t="shared" ca="1" si="283"/>
        <v>0</v>
      </c>
      <c r="Y219" s="256" cm="1">
        <f t="array" aca="1" ref="Y219" ca="1">_xlfn.SWITCH(T219,Y$3,V219+Z219,W$3,W219,0)</f>
        <v>0</v>
      </c>
      <c r="Z219" s="1410" cm="1">
        <f t="array" aca="1" ref="Z219" ca="1">IFERROR(INDEX('Eléments de constr. inté. et ex'!L:L, $F218)*$K219/$M219,0)/$I$1*(1-0.8*N219)</f>
        <v>0</v>
      </c>
      <c r="AA219" s="1460">
        <f t="shared" ca="1" si="328"/>
        <v>0</v>
      </c>
      <c r="AB219" s="1460"/>
    </row>
    <row r="220" spans="2:28" ht="15.75" outlineLevel="1">
      <c r="B220" s="1871"/>
      <c r="C220" s="1874"/>
      <c r="D220" s="163" t="str">
        <f>'Outil détaillé'!D50</f>
        <v>Sous-sol support</v>
      </c>
      <c r="E220" s="164" t="str">
        <f>'Outil détaillé'!F50</f>
        <v>Chape ciment</v>
      </c>
      <c r="F220" s="801">
        <f ca="1">MATCH(E220, INDIRECT("'Eléments de constr. inté. et ex'!A"&amp;F182+1&amp;":A500"),0)+F182</f>
        <v>108</v>
      </c>
      <c r="G220" s="164"/>
      <c r="H220" s="164"/>
      <c r="I220" s="164"/>
      <c r="J220" s="164" t="s">
        <v>87</v>
      </c>
      <c r="K220" s="270">
        <f>'Outil détaillé'!K50</f>
        <v>0</v>
      </c>
      <c r="L220" s="271"/>
      <c r="M220" s="1467"/>
      <c r="N220" s="1623"/>
      <c r="O220" s="1488">
        <f ca="1">SUM(O221:O224)</f>
        <v>0</v>
      </c>
      <c r="P220" s="1489">
        <f t="shared" ref="P220" ca="1" si="330">SUM(P221:P224)</f>
        <v>0</v>
      </c>
      <c r="Q220" s="1489">
        <f t="shared" ref="Q220" ca="1" si="331">SUM(Q221:Q224)</f>
        <v>0</v>
      </c>
      <c r="R220" s="1489">
        <f t="shared" ref="R220" ca="1" si="332">SUM(R221:R224)</f>
        <v>0</v>
      </c>
      <c r="S220" s="1489">
        <f t="shared" ref="S220" ca="1" si="333">SUM(S221:S224)</f>
        <v>0</v>
      </c>
      <c r="T220" s="1489">
        <f t="shared" ref="T220" ca="1" si="334">SUM(T221:T224)</f>
        <v>0</v>
      </c>
      <c r="U220" s="1490">
        <f t="shared" ref="U220" ca="1" si="335">SUM(U221:U224)</f>
        <v>0</v>
      </c>
      <c r="V220" s="1488">
        <f ca="1">SUM(V221:V224)</f>
        <v>0</v>
      </c>
      <c r="W220" s="1489">
        <f t="shared" ref="W220:Z220" ca="1" si="336">SUM(W221:W224)</f>
        <v>0</v>
      </c>
      <c r="X220" s="1489">
        <f t="shared" ca="1" si="336"/>
        <v>0</v>
      </c>
      <c r="Y220" s="1489">
        <f t="shared" ca="1" si="336"/>
        <v>0</v>
      </c>
      <c r="Z220" s="1489">
        <f t="shared" ca="1" si="336"/>
        <v>0</v>
      </c>
      <c r="AA220" s="1490">
        <f t="shared" ref="AA220" ca="1" si="337">SUM(AA221:AA224)</f>
        <v>0</v>
      </c>
      <c r="AB220" s="1490"/>
    </row>
    <row r="221" spans="2:28" ht="15.75" outlineLevel="1">
      <c r="B221" s="1871"/>
      <c r="C221" s="1874"/>
      <c r="D221" s="163"/>
      <c r="E221" s="282"/>
      <c r="F221" s="163">
        <f t="shared" ref="F221:F224" ca="1" si="338">IF(I221=0,2,F220+1)</f>
        <v>109</v>
      </c>
      <c r="G221" s="163" t="str" cm="1">
        <f t="array" aca="1" ref="G221" ca="1">INDEX( 'Eléments de constr. inté. et ex'!C:C, $F220)</f>
        <v>Zementunterlagsboden 7cm [kg]</v>
      </c>
      <c r="H221" s="163" t="str" cm="1">
        <f t="array" aca="1" ref="H221" ca="1">INDEX( 'Eléments de constr. inté. et ex'!D:D, $F220)</f>
        <v>Chape de ciment, 85 mm</v>
      </c>
      <c r="I221" s="163" t="str" cm="1">
        <f t="array" aca="1" ref="I221" ca="1">INDEX( 'Eléments de constr. inté. et ex'!G:G, $F220)</f>
        <v>04.006</v>
      </c>
      <c r="J221" s="163" t="str">
        <f ca="1">_xlfn.XLOOKUP($I221,'Baumaterialien Matériaux'!A:A,'Baumaterialien Matériaux'!G:G,0,0)</f>
        <v>kg</v>
      </c>
      <c r="K221" s="262">
        <f ca="1">M221*$K$220</f>
        <v>0</v>
      </c>
      <c r="L221" s="163" cm="1">
        <f t="array" aca="1" ref="L221" ca="1">INDEX( 'Eléments de constr. inté. et ex'!J:J, $F220)</f>
        <v>30</v>
      </c>
      <c r="M221" s="1522" cm="1">
        <f t="array" aca="1" ref="M221" ca="1">INDEX( 'Eléments de constr. inté. et ex'!H:H, $F220)</f>
        <v>129.5</v>
      </c>
      <c r="N221" s="1627">
        <f>'Outil détaillé'!E$50</f>
        <v>0</v>
      </c>
      <c r="O221" s="1502" cm="1">
        <f t="array" aca="1" ref="O221" ca="1">IFERROR(INDEX('Eléments de constr. inté. et ex'!M:M, $F220)*$K221/$M221,0)/$I$1*(1-0.8*N221)</f>
        <v>0</v>
      </c>
      <c r="P221" s="1416">
        <f t="shared" ca="1" si="281"/>
        <v>0</v>
      </c>
      <c r="Q221" s="1416">
        <f t="shared" ca="1" si="281"/>
        <v>0</v>
      </c>
      <c r="R221" s="256" cm="1">
        <f t="array" aca="1" ref="R221" ca="1">_xlfn.SWITCH(L221,R$3,O221+S221,P$3,P221,0)</f>
        <v>0</v>
      </c>
      <c r="S221" s="1410" cm="1">
        <f t="array" aca="1" ref="S221" ca="1">IFERROR(INDEX('Eléments de constr. inté. et ex'!N:N, $F220)*$K221/$M221,0)/$I$1*(1-0.8*N221)</f>
        <v>0</v>
      </c>
      <c r="T221" s="1411">
        <f t="shared" ref="T221:T224" ca="1" si="339">SUM(O221:S221)</f>
        <v>0</v>
      </c>
      <c r="U221" s="1530" cm="1">
        <f t="array" aca="1" ref="U221" ca="1">IFERROR(INDEX('Eléments de constr. inté. et ex'!O:O, $F220)*$K221/$M221,0)/$I$1*(1-0.8*N221)</f>
        <v>0</v>
      </c>
      <c r="V221" s="1502" cm="1">
        <f t="array" aca="1" ref="V221" ca="1">IFERROR(INDEX('Eléments de constr. inté. et ex'!K:K, $F220)*$K221/$M221,0)/$I$1*(1-0.8*N221)</f>
        <v>0</v>
      </c>
      <c r="W221" s="1416">
        <f t="shared" ca="1" si="283"/>
        <v>0</v>
      </c>
      <c r="X221" s="1416">
        <f t="shared" ca="1" si="283"/>
        <v>0</v>
      </c>
      <c r="Y221" s="256" cm="1">
        <f t="array" aca="1" ref="Y221" ca="1">_xlfn.SWITCH(T221,Y$3,V221+Z221,W$3,W221,0)</f>
        <v>0</v>
      </c>
      <c r="Z221" s="1410" cm="1">
        <f t="array" aca="1" ref="Z221" ca="1">IFERROR(INDEX('Eléments de constr. inté. et ex'!L:L, $F220)*$K221/$M221,0)/$I$1*(1-0.8*N221)</f>
        <v>0</v>
      </c>
      <c r="AA221" s="1460">
        <f t="shared" ref="AA221:AA224" ca="1" si="340">SUM(V221:Z221)</f>
        <v>0</v>
      </c>
      <c r="AB221" s="1460"/>
    </row>
    <row r="222" spans="2:28" ht="15.75" outlineLevel="1">
      <c r="B222" s="1871"/>
      <c r="C222" s="1874"/>
      <c r="D222" s="163"/>
      <c r="E222" s="282"/>
      <c r="F222" s="163">
        <f t="shared" ca="1" si="338"/>
        <v>2</v>
      </c>
      <c r="G222" s="163" cm="1">
        <f t="array" aca="1" ref="G222" ca="1">INDEX( 'Eléments de constr. inté. et ex'!C:C, $F221)</f>
        <v>0</v>
      </c>
      <c r="H222" s="163" cm="1">
        <f t="array" aca="1" ref="H222" ca="1">INDEX( 'Eléments de constr. inté. et ex'!D:D, $F221)</f>
        <v>0</v>
      </c>
      <c r="I222" s="163" cm="1">
        <f t="array" aca="1" ref="I222" ca="1">INDEX( 'Eléments de constr. inté. et ex'!G:G, $F221)</f>
        <v>0</v>
      </c>
      <c r="J222" s="163">
        <f ca="1">_xlfn.XLOOKUP($I222,'Baumaterialien Matériaux'!A:A,'Baumaterialien Matériaux'!G:G,0,0)</f>
        <v>0</v>
      </c>
      <c r="K222" s="262">
        <f t="shared" ref="K222:K224" ca="1" si="341">M222*$K$220</f>
        <v>0</v>
      </c>
      <c r="L222" s="163" cm="1">
        <f t="array" aca="1" ref="L222" ca="1">INDEX( 'Eléments de constr. inté. et ex'!J:J, $F221)</f>
        <v>0</v>
      </c>
      <c r="M222" s="1522" cm="1">
        <f t="array" aca="1" ref="M222" ca="1">INDEX( 'Eléments de constr. inté. et ex'!H:H, $F221)</f>
        <v>0</v>
      </c>
      <c r="N222" s="1627">
        <f>'Outil détaillé'!E$50</f>
        <v>0</v>
      </c>
      <c r="O222" s="1502" cm="1">
        <f t="array" aca="1" ref="O222" ca="1">IFERROR(INDEX('Eléments de constr. inté. et ex'!M:M, $F221)*$K222/$M222,0)/$I$1*(1-0.8*N222)</f>
        <v>0</v>
      </c>
      <c r="P222" s="1416">
        <f t="shared" ca="1" si="281"/>
        <v>0</v>
      </c>
      <c r="Q222" s="1416">
        <f t="shared" ca="1" si="281"/>
        <v>0</v>
      </c>
      <c r="R222" s="256" cm="1">
        <f t="array" aca="1" ref="R222" ca="1">_xlfn.SWITCH(L222,R$3,O222+S222,P$3,P222,0)</f>
        <v>0</v>
      </c>
      <c r="S222" s="1410" cm="1">
        <f t="array" aca="1" ref="S222" ca="1">IFERROR(INDEX('Eléments de constr. inté. et ex'!N:N, $F221)*$K222/$M222,0)/$I$1*(1-0.8*N222)</f>
        <v>0</v>
      </c>
      <c r="T222" s="1411">
        <f t="shared" ca="1" si="339"/>
        <v>0</v>
      </c>
      <c r="U222" s="1530" cm="1">
        <f t="array" aca="1" ref="U222" ca="1">IFERROR(INDEX('Eléments de constr. inté. et ex'!O:O, $F221)*$K222/$M222,0)/$I$1*(1-0.8*N222)</f>
        <v>0</v>
      </c>
      <c r="V222" s="1502" cm="1">
        <f t="array" aca="1" ref="V222" ca="1">IFERROR(INDEX('Eléments de constr. inté. et ex'!K:K, $F221)*$K222/$M222,0)/$I$1*(1-0.8*N222)</f>
        <v>0</v>
      </c>
      <c r="W222" s="1416">
        <f t="shared" ca="1" si="283"/>
        <v>0</v>
      </c>
      <c r="X222" s="1416">
        <f t="shared" ca="1" si="283"/>
        <v>0</v>
      </c>
      <c r="Y222" s="256" cm="1">
        <f t="array" aca="1" ref="Y222" ca="1">_xlfn.SWITCH(T222,Y$3,V222+Z222,W$3,W222,0)</f>
        <v>0</v>
      </c>
      <c r="Z222" s="1410" cm="1">
        <f t="array" aca="1" ref="Z222" ca="1">IFERROR(INDEX('Eléments de constr. inté. et ex'!L:L, $F221)*$K222/$M222,0)/$I$1*(1-0.8*N222)</f>
        <v>0</v>
      </c>
      <c r="AA222" s="1460">
        <f t="shared" ca="1" si="340"/>
        <v>0</v>
      </c>
      <c r="AB222" s="1460"/>
    </row>
    <row r="223" spans="2:28" ht="15.75" outlineLevel="1">
      <c r="B223" s="1871"/>
      <c r="C223" s="1874"/>
      <c r="D223" s="163"/>
      <c r="E223" s="282"/>
      <c r="F223" s="163">
        <f t="shared" ca="1" si="338"/>
        <v>2</v>
      </c>
      <c r="G223" s="163" cm="1">
        <f t="array" aca="1" ref="G223" ca="1">INDEX( 'Eléments de constr. inté. et ex'!C:C, $F222)</f>
        <v>0</v>
      </c>
      <c r="H223" s="163" cm="1">
        <f t="array" aca="1" ref="H223" ca="1">INDEX( 'Eléments de constr. inté. et ex'!D:D, $F222)</f>
        <v>0</v>
      </c>
      <c r="I223" s="163" cm="1">
        <f t="array" aca="1" ref="I223" ca="1">INDEX( 'Eléments de constr. inté. et ex'!G:G, $F222)</f>
        <v>0</v>
      </c>
      <c r="J223" s="163">
        <f ca="1">_xlfn.XLOOKUP($I223,'Baumaterialien Matériaux'!A:A,'Baumaterialien Matériaux'!G:G,0,0)</f>
        <v>0</v>
      </c>
      <c r="K223" s="262">
        <f t="shared" ca="1" si="341"/>
        <v>0</v>
      </c>
      <c r="L223" s="163" cm="1">
        <f t="array" aca="1" ref="L223" ca="1">INDEX( 'Eléments de constr. inté. et ex'!J:J, $F222)</f>
        <v>0</v>
      </c>
      <c r="M223" s="1522" cm="1">
        <f t="array" aca="1" ref="M223" ca="1">INDEX( 'Eléments de constr. inté. et ex'!H:H, $F222)</f>
        <v>0</v>
      </c>
      <c r="N223" s="1627">
        <f>'Outil détaillé'!E$50</f>
        <v>0</v>
      </c>
      <c r="O223" s="1502" cm="1">
        <f t="array" aca="1" ref="O223" ca="1">IFERROR(INDEX('Eléments de constr. inté. et ex'!M:M, $F222)*$K223/$M223,0)/$I$1*(1-0.8*N223)</f>
        <v>0</v>
      </c>
      <c r="P223" s="1416">
        <f t="shared" ca="1" si="281"/>
        <v>0</v>
      </c>
      <c r="Q223" s="1416">
        <f t="shared" ca="1" si="281"/>
        <v>0</v>
      </c>
      <c r="R223" s="256" cm="1">
        <f t="array" aca="1" ref="R223" ca="1">_xlfn.SWITCH(L223,R$3,O223+S223,P$3,P223,0)</f>
        <v>0</v>
      </c>
      <c r="S223" s="1410" cm="1">
        <f t="array" aca="1" ref="S223" ca="1">IFERROR(INDEX('Eléments de constr. inté. et ex'!N:N, $F222)*$K223/$M223,0)/$I$1*(1-0.8*N223)</f>
        <v>0</v>
      </c>
      <c r="T223" s="1411">
        <f t="shared" ca="1" si="339"/>
        <v>0</v>
      </c>
      <c r="U223" s="1530" cm="1">
        <f t="array" aca="1" ref="U223" ca="1">IFERROR(INDEX('Eléments de constr. inté. et ex'!O:O, $F222)*$K223/$M223,0)/$I$1*(1-0.8*N223)</f>
        <v>0</v>
      </c>
      <c r="V223" s="1502" cm="1">
        <f t="array" aca="1" ref="V223" ca="1">IFERROR(INDEX('Eléments de constr. inté. et ex'!K:K, $F222)*$K223/$M223,0)/$I$1*(1-0.8*N223)</f>
        <v>0</v>
      </c>
      <c r="W223" s="1416">
        <f t="shared" ca="1" si="283"/>
        <v>0</v>
      </c>
      <c r="X223" s="1416">
        <f t="shared" ca="1" si="283"/>
        <v>0</v>
      </c>
      <c r="Y223" s="256" cm="1">
        <f t="array" aca="1" ref="Y223" ca="1">_xlfn.SWITCH(T223,Y$3,V223+Z223,W$3,W223,0)</f>
        <v>0</v>
      </c>
      <c r="Z223" s="1410" cm="1">
        <f t="array" aca="1" ref="Z223" ca="1">IFERROR(INDEX('Eléments de constr. inté. et ex'!L:L, $F222)*$K223/$M223,0)/$I$1*(1-0.8*N223)</f>
        <v>0</v>
      </c>
      <c r="AA223" s="1460">
        <f t="shared" ca="1" si="340"/>
        <v>0</v>
      </c>
      <c r="AB223" s="1460"/>
    </row>
    <row r="224" spans="2:28" ht="15.75" outlineLevel="1">
      <c r="B224" s="1871"/>
      <c r="C224" s="1874"/>
      <c r="D224" s="163"/>
      <c r="E224" s="282"/>
      <c r="F224" s="163">
        <f t="shared" ca="1" si="338"/>
        <v>2</v>
      </c>
      <c r="G224" s="163" cm="1">
        <f t="array" aca="1" ref="G224" ca="1">INDEX( 'Eléments de constr. inté. et ex'!C:C, $F223)</f>
        <v>0</v>
      </c>
      <c r="H224" s="163" cm="1">
        <f t="array" aca="1" ref="H224" ca="1">INDEX( 'Eléments de constr. inté. et ex'!D:D, $F223)</f>
        <v>0</v>
      </c>
      <c r="I224" s="163" cm="1">
        <f t="array" aca="1" ref="I224" ca="1">INDEX( 'Eléments de constr. inté. et ex'!G:G, $F223)</f>
        <v>0</v>
      </c>
      <c r="J224" s="163">
        <f ca="1">_xlfn.XLOOKUP($I224,'Baumaterialien Matériaux'!A:A,'Baumaterialien Matériaux'!G:G,0,0)</f>
        <v>0</v>
      </c>
      <c r="K224" s="262">
        <f t="shared" ca="1" si="341"/>
        <v>0</v>
      </c>
      <c r="L224" s="163" cm="1">
        <f t="array" aca="1" ref="L224" ca="1">INDEX( 'Eléments de constr. inté. et ex'!J:J, $F223)</f>
        <v>0</v>
      </c>
      <c r="M224" s="1522" cm="1">
        <f t="array" aca="1" ref="M224" ca="1">INDEX( 'Eléments de constr. inté. et ex'!H:H, $F223)</f>
        <v>0</v>
      </c>
      <c r="N224" s="1627">
        <f>'Outil détaillé'!E$50</f>
        <v>0</v>
      </c>
      <c r="O224" s="1502" cm="1">
        <f t="array" aca="1" ref="O224" ca="1">IFERROR(INDEX('Eléments de constr. inté. et ex'!M:M, $F223)*$K224/$M224,0)/$I$1*(1-0.8*N224)</f>
        <v>0</v>
      </c>
      <c r="P224" s="1416">
        <f t="shared" ca="1" si="281"/>
        <v>0</v>
      </c>
      <c r="Q224" s="1416">
        <f t="shared" ca="1" si="281"/>
        <v>0</v>
      </c>
      <c r="R224" s="256" cm="1">
        <f t="array" aca="1" ref="R224" ca="1">_xlfn.SWITCH(L224,R$3,O224+S224,P$3,P224,0)</f>
        <v>0</v>
      </c>
      <c r="S224" s="1410" cm="1">
        <f t="array" aca="1" ref="S224" ca="1">IFERROR(INDEX('Eléments de constr. inté. et ex'!N:N, $F223)*$K224/$M224,0)/$I$1*(1-0.8*N224)</f>
        <v>0</v>
      </c>
      <c r="T224" s="1411">
        <f t="shared" ca="1" si="339"/>
        <v>0</v>
      </c>
      <c r="U224" s="1530" cm="1">
        <f t="array" aca="1" ref="U224" ca="1">IFERROR(INDEX('Eléments de constr. inté. et ex'!O:O, $F223)*$K224/$M224,0)/$I$1*(1-0.8*N224)</f>
        <v>0</v>
      </c>
      <c r="V224" s="1502" cm="1">
        <f t="array" aca="1" ref="V224" ca="1">IFERROR(INDEX('Eléments de constr. inté. et ex'!K:K, $F223)*$K224/$M224,0)/$I$1*(1-0.8*N224)</f>
        <v>0</v>
      </c>
      <c r="W224" s="1416">
        <f t="shared" ca="1" si="283"/>
        <v>0</v>
      </c>
      <c r="X224" s="1416">
        <f t="shared" ca="1" si="283"/>
        <v>0</v>
      </c>
      <c r="Y224" s="256" cm="1">
        <f t="array" aca="1" ref="Y224" ca="1">_xlfn.SWITCH(T224,Y$3,V224+Z224,W$3,W224,0)</f>
        <v>0</v>
      </c>
      <c r="Z224" s="1410" cm="1">
        <f t="array" aca="1" ref="Z224" ca="1">IFERROR(INDEX('Eléments de constr. inté. et ex'!L:L, $F223)*$K224/$M224,0)/$I$1*(1-0.8*N224)</f>
        <v>0</v>
      </c>
      <c r="AA224" s="1460">
        <f t="shared" ca="1" si="340"/>
        <v>0</v>
      </c>
      <c r="AB224" s="1460"/>
    </row>
    <row r="225" spans="2:28" ht="15.75">
      <c r="B225" s="1871"/>
      <c r="C225" s="1874"/>
      <c r="D225" s="163" t="str">
        <f>'Outil détaillé'!D51</f>
        <v>Isolation acoustique</v>
      </c>
      <c r="E225" s="164" t="str">
        <f>'Outil détaillé'!F51</f>
        <v>Laine de roche, acoustique</v>
      </c>
      <c r="F225" s="801">
        <f ca="1">MATCH(E225, INDIRECT("'Eléments de constr. inté. et ex'!A"&amp;F182+1&amp;":A500"),0)+F182</f>
        <v>132</v>
      </c>
      <c r="G225" s="164"/>
      <c r="H225" s="164"/>
      <c r="I225" s="164"/>
      <c r="J225" s="164" t="s">
        <v>87</v>
      </c>
      <c r="K225" s="270">
        <f>'Outil détaillé'!K51</f>
        <v>80</v>
      </c>
      <c r="L225" s="271"/>
      <c r="M225" s="1467"/>
      <c r="N225" s="1623"/>
      <c r="O225" s="1488">
        <f ca="1">SUM(O226:O228)</f>
        <v>0.82760000000000011</v>
      </c>
      <c r="P225" s="1489">
        <f t="shared" ref="P225:U225" ca="1" si="342">SUM(P226:P228)</f>
        <v>0</v>
      </c>
      <c r="Q225" s="1489">
        <f t="shared" ca="1" si="342"/>
        <v>1.07521</v>
      </c>
      <c r="R225" s="1489">
        <f t="shared" ca="1" si="342"/>
        <v>0</v>
      </c>
      <c r="S225" s="1489">
        <f t="shared" ca="1" si="342"/>
        <v>0.24760999999999994</v>
      </c>
      <c r="T225" s="1489">
        <f t="shared" ca="1" si="342"/>
        <v>2.15042</v>
      </c>
      <c r="U225" s="1490">
        <f t="shared" ca="1" si="342"/>
        <v>0</v>
      </c>
      <c r="V225" s="1488">
        <f ca="1">SUM(V226:V228)</f>
        <v>4.4075000000000006</v>
      </c>
      <c r="W225" s="1489">
        <f t="shared" ref="W225:Z225" ca="1" si="343">SUM(W226:W228)</f>
        <v>0</v>
      </c>
      <c r="X225" s="1489">
        <f t="shared" ca="1" si="343"/>
        <v>4.5295750000000004</v>
      </c>
      <c r="Y225" s="1489">
        <f t="shared" ca="1" si="343"/>
        <v>0</v>
      </c>
      <c r="Z225" s="1489">
        <f t="shared" ca="1" si="343"/>
        <v>0.12207500000000002</v>
      </c>
      <c r="AA225" s="1490">
        <f t="shared" ref="AA225" ca="1" si="344">SUM(AA226:AA228)</f>
        <v>9.0591499999999989</v>
      </c>
      <c r="AB225" s="1490"/>
    </row>
    <row r="226" spans="2:28" ht="15.75" outlineLevel="1">
      <c r="B226" s="1871"/>
      <c r="C226" s="1874"/>
      <c r="D226" s="163"/>
      <c r="E226" s="163"/>
      <c r="F226" s="163">
        <f t="shared" ref="F226:F228" ca="1" si="345">IF(I226=0,2,F225+1)</f>
        <v>133</v>
      </c>
      <c r="G226" s="163" t="str" cm="1">
        <f t="array" aca="1" ref="G226" ca="1">INDEX( 'Eléments de constr. inté. et ex'!C:C, $F225)</f>
        <v>Laine de roche (80kg/m3)</v>
      </c>
      <c r="H226" s="163" t="str" cm="1">
        <f t="array" aca="1" ref="H226" ca="1">INDEX( 'Eléments de constr. inté. et ex'!D:D, $F225)</f>
        <v>Laine de roche</v>
      </c>
      <c r="I226" s="163" t="str" cm="1">
        <f t="array" aca="1" ref="I226" ca="1">INDEX( 'Eléments de constr. inté. et ex'!G:G, $F225)</f>
        <v>10.008</v>
      </c>
      <c r="J226" s="163" t="str">
        <f ca="1">_xlfn.XLOOKUP($I226,'Baumaterialien Matériaux'!A:A,'Baumaterialien Matériaux'!G:G,0,0)</f>
        <v>kg</v>
      </c>
      <c r="K226" s="262">
        <f ca="1">M226*$K$225</f>
        <v>128</v>
      </c>
      <c r="L226" s="163" cm="1">
        <f t="array" aca="1" ref="L226" ca="1">INDEX( 'Eléments de constr. inté. et ex'!J:J, $F225)</f>
        <v>30</v>
      </c>
      <c r="M226" s="1522" cm="1">
        <f t="array" aca="1" ref="M226" ca="1">INDEX( 'Eléments de constr. inté. et ex'!H:H, $F225)</f>
        <v>1.6</v>
      </c>
      <c r="N226" s="1627">
        <f>'Outil détaillé'!E$51</f>
        <v>0</v>
      </c>
      <c r="O226" s="1502" cm="1">
        <f t="array" aca="1" ref="O226" ca="1">IFERROR(INDEX('Eléments de constr. inté. et ex'!M:M, $F225)*$K226/$M226,0)/$I$1*(1-0.8*N226)</f>
        <v>0.60560000000000003</v>
      </c>
      <c r="P226" s="1416">
        <f t="shared" ca="1" si="281"/>
        <v>0</v>
      </c>
      <c r="Q226" s="1416">
        <f t="shared" ca="1" si="281"/>
        <v>0.65295999999999998</v>
      </c>
      <c r="R226" s="256" cm="1">
        <f t="array" aca="1" ref="R226" ca="1">_xlfn.SWITCH(L226,R$3,O226+S226,P$3,P226,0)</f>
        <v>0</v>
      </c>
      <c r="S226" s="1410" cm="1">
        <f t="array" aca="1" ref="S226" ca="1">IFERROR(INDEX('Eléments de constr. inté. et ex'!N:N, $F225)*$K226/$M226,0)/$I$1*(1-0.8*N226)</f>
        <v>4.7359999999999999E-2</v>
      </c>
      <c r="T226" s="1411">
        <f t="shared" ref="T226:T228" ca="1" si="346">SUM(O226:S226)</f>
        <v>1.3059200000000002</v>
      </c>
      <c r="U226" s="1530" cm="1">
        <f t="array" aca="1" ref="U226" ca="1">IFERROR(INDEX('Eléments de constr. inté. et ex'!O:O, $F225)*$K226/$M226,0)/$I$1*(1-0.8*N226)</f>
        <v>0</v>
      </c>
      <c r="V226" s="1502" cm="1">
        <f t="array" aca="1" ref="V226" ca="1">IFERROR(INDEX('Eléments de constr. inté. et ex'!K:K, $F225)*$K226/$M226,0)/$I$1*(1-0.8*N226)</f>
        <v>2.4800000000000004</v>
      </c>
      <c r="W226" s="1416">
        <f t="shared" ca="1" si="283"/>
        <v>0</v>
      </c>
      <c r="X226" s="1416">
        <f t="shared" ca="1" si="283"/>
        <v>2.5864000000000003</v>
      </c>
      <c r="Y226" s="256" cm="1">
        <f t="array" aca="1" ref="Y226" ca="1">_xlfn.SWITCH(T226,Y$3,V226+Z226,W$3,W226,0)</f>
        <v>0</v>
      </c>
      <c r="Z226" s="1410" cm="1">
        <f t="array" aca="1" ref="Z226" ca="1">IFERROR(INDEX('Eléments de constr. inté. et ex'!L:L, $F225)*$K226/$M226,0)/$I$1*(1-0.8*N226)</f>
        <v>0.10640000000000001</v>
      </c>
      <c r="AA226" s="1460">
        <f t="shared" ref="AA226:AA228" ca="1" si="347">SUM(V226:Z226)</f>
        <v>5.1728000000000005</v>
      </c>
      <c r="AB226" s="1460"/>
    </row>
    <row r="227" spans="2:28" ht="15.75" outlineLevel="1">
      <c r="B227" s="1871"/>
      <c r="C227" s="1874"/>
      <c r="D227" s="163"/>
      <c r="E227" s="163"/>
      <c r="F227" s="163">
        <f t="shared" ca="1" si="345"/>
        <v>134</v>
      </c>
      <c r="G227" s="163" t="str" cm="1">
        <f t="array" aca="1" ref="G227" ca="1">INDEX( 'Eléments de constr. inté. et ex'!C:C, $F226)</f>
        <v>PE-Vlies [kg]</v>
      </c>
      <c r="H227" s="163" t="str" cm="1">
        <f t="array" aca="1" ref="H227" ca="1">INDEX( 'Eléments de constr. inté. et ex'!D:D, $F226)</f>
        <v>Voile de polyéthylène (PE)</v>
      </c>
      <c r="I227" s="163" t="str" cm="1">
        <f t="array" aca="1" ref="I227" ca="1">INDEX( 'Eléments de constr. inté. et ex'!G:G, $F226)</f>
        <v>09.008</v>
      </c>
      <c r="J227" s="163" t="str">
        <f ca="1">_xlfn.XLOOKUP($I227,'Baumaterialien Matériaux'!A:A,'Baumaterialien Matériaux'!G:G,0,0)</f>
        <v>kg</v>
      </c>
      <c r="K227" s="262">
        <f t="shared" ref="K227:K228" ca="1" si="348">M227*$K$225</f>
        <v>12</v>
      </c>
      <c r="L227" s="163" cm="1">
        <f t="array" aca="1" ref="L227" ca="1">INDEX( 'Eléments de constr. inté. et ex'!J:J, $F226)</f>
        <v>30</v>
      </c>
      <c r="M227" s="1522" cm="1">
        <f t="array" aca="1" ref="M227" ca="1">INDEX( 'Eléments de constr. inté. et ex'!H:H, $F226)</f>
        <v>0.15</v>
      </c>
      <c r="N227" s="1627">
        <f>'Outil détaillé'!E$51</f>
        <v>0</v>
      </c>
      <c r="O227" s="1502" cm="1">
        <f t="array" aca="1" ref="O227" ca="1">IFERROR(INDEX('Eléments de constr. inté. et ex'!M:M, $F226)*$K227/$M227,0)/$I$1*(1-0.8*N227)</f>
        <v>0.22200000000000003</v>
      </c>
      <c r="P227" s="1416">
        <f t="shared" ca="1" si="281"/>
        <v>0</v>
      </c>
      <c r="Q227" s="1416">
        <f t="shared" ca="1" si="281"/>
        <v>0.42225000000000001</v>
      </c>
      <c r="R227" s="256" cm="1">
        <f t="array" aca="1" ref="R227" ca="1">_xlfn.SWITCH(L227,R$3,O227+S227,P$3,P227,0)</f>
        <v>0</v>
      </c>
      <c r="S227" s="1410" cm="1">
        <f t="array" aca="1" ref="S227" ca="1">IFERROR(INDEX('Eléments de constr. inté. et ex'!N:N, $F226)*$K227/$M227,0)/$I$1*(1-0.8*N227)</f>
        <v>0.20024999999999996</v>
      </c>
      <c r="T227" s="1411">
        <f t="shared" ca="1" si="346"/>
        <v>0.84449999999999992</v>
      </c>
      <c r="U227" s="1530" cm="1">
        <f t="array" aca="1" ref="U227" ca="1">IFERROR(INDEX('Eléments de constr. inté. et ex'!O:O, $F226)*$K227/$M227,0)/$I$1*(1-0.8*N227)</f>
        <v>0</v>
      </c>
      <c r="V227" s="1502" cm="1">
        <f t="array" aca="1" ref="V227" ca="1">IFERROR(INDEX('Eléments de constr. inté. et ex'!K:K, $F226)*$K227/$M227,0)/$I$1*(1-0.8*N227)</f>
        <v>1.9274999999999998</v>
      </c>
      <c r="W227" s="1416">
        <f t="shared" ca="1" si="283"/>
        <v>0</v>
      </c>
      <c r="X227" s="1416">
        <f t="shared" ca="1" si="283"/>
        <v>1.9431749999999999</v>
      </c>
      <c r="Y227" s="256" cm="1">
        <f t="array" aca="1" ref="Y227" ca="1">_xlfn.SWITCH(T227,Y$3,V227+Z227,W$3,W227,0)</f>
        <v>0</v>
      </c>
      <c r="Z227" s="1410" cm="1">
        <f t="array" aca="1" ref="Z227" ca="1">IFERROR(INDEX('Eléments de constr. inté. et ex'!L:L, $F226)*$K227/$M227,0)/$I$1*(1-0.8*N227)</f>
        <v>1.5675000000000001E-2</v>
      </c>
      <c r="AA227" s="1460">
        <f t="shared" ca="1" si="347"/>
        <v>3.8863499999999993</v>
      </c>
      <c r="AB227" s="1460"/>
    </row>
    <row r="228" spans="2:28" ht="15.75" outlineLevel="1">
      <c r="B228" s="1871"/>
      <c r="C228" s="1874"/>
      <c r="D228" s="163"/>
      <c r="E228" s="163"/>
      <c r="F228" s="163">
        <f t="shared" ca="1" si="345"/>
        <v>2</v>
      </c>
      <c r="G228" s="163" cm="1">
        <f t="array" aca="1" ref="G228" ca="1">INDEX( 'Eléments de constr. inté. et ex'!C:C, $F227)</f>
        <v>0</v>
      </c>
      <c r="H228" s="163" cm="1">
        <f t="array" aca="1" ref="H228" ca="1">INDEX( 'Eléments de constr. inté. et ex'!D:D, $F227)</f>
        <v>0</v>
      </c>
      <c r="I228" s="163" cm="1">
        <f t="array" aca="1" ref="I228" ca="1">INDEX( 'Eléments de constr. inté. et ex'!G:G, $F227)</f>
        <v>0</v>
      </c>
      <c r="J228" s="163">
        <f ca="1">_xlfn.XLOOKUP($I228,'Baumaterialien Matériaux'!A:A,'Baumaterialien Matériaux'!G:G,0,0)</f>
        <v>0</v>
      </c>
      <c r="K228" s="262">
        <f t="shared" ca="1" si="348"/>
        <v>0</v>
      </c>
      <c r="L228" s="163" cm="1">
        <f t="array" aca="1" ref="L228" ca="1">INDEX( 'Eléments de constr. inté. et ex'!J:J, $F227)</f>
        <v>30</v>
      </c>
      <c r="M228" s="1522" cm="1">
        <f t="array" aca="1" ref="M228" ca="1">INDEX( 'Eléments de constr. inté. et ex'!H:H, $F227)</f>
        <v>0</v>
      </c>
      <c r="N228" s="1627">
        <f>'Outil détaillé'!E$51</f>
        <v>0</v>
      </c>
      <c r="O228" s="1502" cm="1">
        <f t="array" aca="1" ref="O228" ca="1">IFERROR(INDEX('Eléments de constr. inté. et ex'!M:M, $F227)*$K228/$M228,0)/$I$1*(1-0.8*N228)</f>
        <v>0</v>
      </c>
      <c r="P228" s="1416">
        <f t="shared" ca="1" si="281"/>
        <v>0</v>
      </c>
      <c r="Q228" s="1416">
        <f t="shared" ca="1" si="281"/>
        <v>0</v>
      </c>
      <c r="R228" s="256" cm="1">
        <f t="array" aca="1" ref="R228" ca="1">_xlfn.SWITCH(L228,R$3,O228+S228,P$3,P228,0)</f>
        <v>0</v>
      </c>
      <c r="S228" s="1410" cm="1">
        <f t="array" aca="1" ref="S228" ca="1">IFERROR(INDEX('Eléments de constr. inté. et ex'!N:N, $F227)*$K228/$M228,0)/$I$1*(1-0.8*N228)</f>
        <v>0</v>
      </c>
      <c r="T228" s="1411">
        <f t="shared" ca="1" si="346"/>
        <v>0</v>
      </c>
      <c r="U228" s="1530" cm="1">
        <f t="array" aca="1" ref="U228" ca="1">IFERROR(INDEX('Eléments de constr. inté. et ex'!O:O, $F227)*$K228/$M228,0)/$I$1*(1-0.8*N228)</f>
        <v>0</v>
      </c>
      <c r="V228" s="1502" cm="1">
        <f t="array" aca="1" ref="V228" ca="1">IFERROR(INDEX('Eléments de constr. inté. et ex'!K:K, $F227)*$K228/$M228,0)/$I$1*(1-0.8*N228)</f>
        <v>0</v>
      </c>
      <c r="W228" s="1416">
        <f t="shared" ca="1" si="283"/>
        <v>0</v>
      </c>
      <c r="X228" s="1416">
        <f t="shared" ca="1" si="283"/>
        <v>0</v>
      </c>
      <c r="Y228" s="256" cm="1">
        <f t="array" aca="1" ref="Y228" ca="1">_xlfn.SWITCH(T228,Y$3,V228+Z228,W$3,W228,0)</f>
        <v>0</v>
      </c>
      <c r="Z228" s="1410" cm="1">
        <f t="array" aca="1" ref="Z228" ca="1">IFERROR(INDEX('Eléments de constr. inté. et ex'!L:L, $F227)*$K228/$M228,0)/$I$1*(1-0.8*N228)</f>
        <v>0</v>
      </c>
      <c r="AA228" s="1460">
        <f t="shared" ca="1" si="347"/>
        <v>0</v>
      </c>
      <c r="AB228" s="1460"/>
    </row>
    <row r="229" spans="2:28" ht="15.75">
      <c r="B229" s="1871"/>
      <c r="C229" s="1874"/>
      <c r="D229" s="163" t="str">
        <f>'Outil détaillé'!D52</f>
        <v>Isolant contre non-chauffé</v>
      </c>
      <c r="E229" s="512" t="str">
        <f>'Outil détaillé'!F52</f>
        <v>Laine de roche</v>
      </c>
      <c r="F229" s="801">
        <f ca="1">MATCH(E229, INDIRECT("'Eléments de constr. inté. et ex'!A"&amp;F182+1&amp;":A500"),0)+F182</f>
        <v>145</v>
      </c>
      <c r="G229" s="164"/>
      <c r="H229" s="164"/>
      <c r="I229" s="164"/>
      <c r="J229" s="164" t="s">
        <v>87</v>
      </c>
      <c r="K229" s="270">
        <f>'Outil détaillé'!K52</f>
        <v>80</v>
      </c>
      <c r="L229" s="271"/>
      <c r="M229" s="1467"/>
      <c r="N229" s="1623"/>
      <c r="O229" s="1488">
        <f ca="1">SUM(O230:O232)</f>
        <v>6.8836000000000004</v>
      </c>
      <c r="P229" s="1489">
        <f t="shared" ref="P229" ca="1" si="349">SUM(P230:P232)</f>
        <v>0</v>
      </c>
      <c r="Q229" s="1489">
        <f t="shared" ref="Q229" ca="1" si="350">SUM(Q230:Q232)</f>
        <v>7.6048099999999996</v>
      </c>
      <c r="R229" s="1489">
        <f t="shared" ref="R229" ca="1" si="351">SUM(R230:R232)</f>
        <v>0</v>
      </c>
      <c r="S229" s="1489">
        <f t="shared" ref="S229" ca="1" si="352">SUM(S230:S232)</f>
        <v>0.72120999999999991</v>
      </c>
      <c r="T229" s="1489">
        <f t="shared" ref="T229" ca="1" si="353">SUM(T230:T232)</f>
        <v>15.209619999999999</v>
      </c>
      <c r="U229" s="1490">
        <f t="shared" ref="U229" ca="1" si="354">SUM(U230:U232)</f>
        <v>0</v>
      </c>
      <c r="V229" s="1488">
        <f ca="1">SUM(V230:V232)</f>
        <v>29.2075</v>
      </c>
      <c r="W229" s="1489">
        <f t="shared" ref="W229:Z229" ca="1" si="355">SUM(W230:W232)</f>
        <v>0</v>
      </c>
      <c r="X229" s="1489">
        <f t="shared" ca="1" si="355"/>
        <v>30.393575000000002</v>
      </c>
      <c r="Y229" s="1489">
        <f t="shared" ca="1" si="355"/>
        <v>0</v>
      </c>
      <c r="Z229" s="1489">
        <f t="shared" ca="1" si="355"/>
        <v>1.1860750000000002</v>
      </c>
      <c r="AA229" s="1490">
        <f t="shared" ref="AA229" ca="1" si="356">SUM(AA230:AA232)</f>
        <v>60.787150000000004</v>
      </c>
      <c r="AB229" s="1490"/>
    </row>
    <row r="230" spans="2:28" ht="15.75" outlineLevel="1">
      <c r="B230" s="1871"/>
      <c r="C230" s="1874"/>
      <c r="D230" s="163"/>
      <c r="E230" s="163"/>
      <c r="F230" s="163">
        <f t="shared" ref="F230:F231" ca="1" si="357">IF(I230=0,2,F229+1)</f>
        <v>146</v>
      </c>
      <c r="G230" s="163" t="str" cm="1">
        <f t="array" aca="1" ref="G230" ca="1">INDEX( 'Eléments de constr. inté. et ex'!C:C, $F229)</f>
        <v>Laine de roche (80kg/m3)</v>
      </c>
      <c r="H230" s="163" t="str" cm="1">
        <f t="array" aca="1" ref="H230" ca="1">INDEX( 'Eléments de constr. inté. et ex'!D:D, $F229)</f>
        <v>Laine de roche</v>
      </c>
      <c r="I230" s="163" t="str" cm="1">
        <f t="array" aca="1" ref="I230" ca="1">INDEX( 'Eléments de constr. inté. et ex'!G:G, $F229)</f>
        <v>10.008</v>
      </c>
      <c r="J230" s="163" t="str">
        <f ca="1">_xlfn.XLOOKUP($I230,'Baumaterialien Matériaux'!A:A,'Baumaterialien Matériaux'!G:G,0,0)</f>
        <v>kg</v>
      </c>
      <c r="K230" s="262">
        <f ca="1">M230*K$229</f>
        <v>1408</v>
      </c>
      <c r="L230" s="163" cm="1">
        <f t="array" aca="1" ref="L230" ca="1">INDEX( 'Eléments de constr. inté. et ex'!J:J, $F229)</f>
        <v>30</v>
      </c>
      <c r="M230" s="1522" cm="1">
        <f t="array" aca="1" ref="M230" ca="1">INDEX( 'Eléments de constr. inté. et ex'!H:H, $F229)</f>
        <v>17.600000000000001</v>
      </c>
      <c r="N230" s="1627">
        <f>'Outil détaillé'!E$52</f>
        <v>0</v>
      </c>
      <c r="O230" s="1502" cm="1">
        <f t="array" aca="1" ref="O230" ca="1">IFERROR(INDEX('Eléments de constr. inté. et ex'!M:M, $F229)*$K230/$M230,0)/$I$1*(1-0.8*N230)</f>
        <v>6.6616</v>
      </c>
      <c r="P230" s="1416">
        <f t="shared" ca="1" si="281"/>
        <v>0</v>
      </c>
      <c r="Q230" s="1416">
        <f t="shared" ca="1" si="281"/>
        <v>7.1825599999999996</v>
      </c>
      <c r="R230" s="256" cm="1">
        <f t="array" aca="1" ref="R230" ca="1">_xlfn.SWITCH(L230,R$3,O230+S230,P$3,P230,0)</f>
        <v>0</v>
      </c>
      <c r="S230" s="1410" cm="1">
        <f t="array" aca="1" ref="S230" ca="1">IFERROR(INDEX('Eléments de constr. inté. et ex'!N:N, $F229)*$K230/$M230,0)/$I$1*(1-0.8*N230)</f>
        <v>0.52095999999999998</v>
      </c>
      <c r="T230" s="1411">
        <f t="shared" ref="T230:T232" ca="1" si="358">SUM(O230:S230)</f>
        <v>14.365119999999999</v>
      </c>
      <c r="U230" s="1530" cm="1">
        <f t="array" aca="1" ref="U230" ca="1">IFERROR(INDEX('Eléments de constr. inté. et ex'!O:O, $F229)*$K230/$M230,0)/$I$1*(1-0.8*N230)</f>
        <v>0</v>
      </c>
      <c r="V230" s="1502" cm="1">
        <f t="array" aca="1" ref="V230" ca="1">IFERROR(INDEX('Eléments de constr. inté. et ex'!K:K, $F229)*$K230/$M230,0)/$I$1*(1-0.8*N230)</f>
        <v>27.28</v>
      </c>
      <c r="W230" s="1416">
        <f t="shared" ca="1" si="283"/>
        <v>0</v>
      </c>
      <c r="X230" s="1416">
        <f t="shared" ca="1" si="283"/>
        <v>28.450400000000002</v>
      </c>
      <c r="Y230" s="256" cm="1">
        <f t="array" aca="1" ref="Y230" ca="1">_xlfn.SWITCH(T230,Y$3,V230+Z230,W$3,W230,0)</f>
        <v>0</v>
      </c>
      <c r="Z230" s="1410" cm="1">
        <f t="array" aca="1" ref="Z230" ca="1">IFERROR(INDEX('Eléments de constr. inté. et ex'!L:L, $F229)*$K230/$M230,0)/$I$1*(1-0.8*N230)</f>
        <v>1.1704000000000001</v>
      </c>
      <c r="AA230" s="1460">
        <f t="shared" ref="AA230:AA232" ca="1" si="359">SUM(V230:Z230)</f>
        <v>56.900800000000004</v>
      </c>
      <c r="AB230" s="1460"/>
    </row>
    <row r="231" spans="2:28" ht="15.75" outlineLevel="1">
      <c r="B231" s="1871"/>
      <c r="C231" s="1874"/>
      <c r="D231" s="163"/>
      <c r="E231" s="163"/>
      <c r="F231" s="163">
        <f t="shared" ca="1" si="357"/>
        <v>147</v>
      </c>
      <c r="G231" s="163" t="str" cm="1">
        <f t="array" aca="1" ref="G231" ca="1">INDEX( 'Eléments de constr. inté. et ex'!C:C, $F230)</f>
        <v>PE-Vlies [kg]</v>
      </c>
      <c r="H231" s="163" t="str" cm="1">
        <f t="array" aca="1" ref="H231" ca="1">INDEX( 'Eléments de constr. inté. et ex'!D:D, $F230)</f>
        <v>Voile de polyéthylène (PE)</v>
      </c>
      <c r="I231" s="163" t="str" cm="1">
        <f t="array" aca="1" ref="I231" ca="1">INDEX( 'Eléments de constr. inté. et ex'!G:G, $F230)</f>
        <v>09.008</v>
      </c>
      <c r="J231" s="163" t="str">
        <f ca="1">_xlfn.XLOOKUP($I231,'Baumaterialien Matériaux'!A:A,'Baumaterialien Matériaux'!G:G,0,0)</f>
        <v>kg</v>
      </c>
      <c r="K231" s="262">
        <f t="shared" ref="K231:K232" ca="1" si="360">M231*K$229</f>
        <v>12</v>
      </c>
      <c r="L231" s="163" cm="1">
        <f t="array" aca="1" ref="L231" ca="1">INDEX( 'Eléments de constr. inté. et ex'!J:J, $F230)</f>
        <v>30</v>
      </c>
      <c r="M231" s="1522" cm="1">
        <f t="array" aca="1" ref="M231" ca="1">INDEX( 'Eléments de constr. inté. et ex'!H:H, $F230)</f>
        <v>0.15</v>
      </c>
      <c r="N231" s="1627">
        <f>'Outil détaillé'!E$52</f>
        <v>0</v>
      </c>
      <c r="O231" s="1502" cm="1">
        <f t="array" aca="1" ref="O231" ca="1">IFERROR(INDEX('Eléments de constr. inté. et ex'!M:M, $F230)*$K231/$M231,0)/$I$1*(1-0.8*N231)</f>
        <v>0.22200000000000003</v>
      </c>
      <c r="P231" s="1416">
        <f t="shared" ca="1" si="281"/>
        <v>0</v>
      </c>
      <c r="Q231" s="1416">
        <f t="shared" ca="1" si="281"/>
        <v>0.42225000000000001</v>
      </c>
      <c r="R231" s="256" cm="1">
        <f t="array" aca="1" ref="R231" ca="1">_xlfn.SWITCH(L231,R$3,O231+S231,P$3,P231,0)</f>
        <v>0</v>
      </c>
      <c r="S231" s="1410" cm="1">
        <f t="array" aca="1" ref="S231" ca="1">IFERROR(INDEX('Eléments de constr. inté. et ex'!N:N, $F230)*$K231/$M231,0)/$I$1*(1-0.8*N231)</f>
        <v>0.20024999999999996</v>
      </c>
      <c r="T231" s="1411">
        <f t="shared" ca="1" si="358"/>
        <v>0.84449999999999992</v>
      </c>
      <c r="U231" s="1530" cm="1">
        <f t="array" aca="1" ref="U231" ca="1">IFERROR(INDEX('Eléments de constr. inté. et ex'!O:O, $F230)*$K231/$M231,0)/$I$1*(1-0.8*N231)</f>
        <v>0</v>
      </c>
      <c r="V231" s="1502" cm="1">
        <f t="array" aca="1" ref="V231" ca="1">IFERROR(INDEX('Eléments de constr. inté. et ex'!K:K, $F230)*$K231/$M231,0)/$I$1*(1-0.8*N231)</f>
        <v>1.9274999999999998</v>
      </c>
      <c r="W231" s="1416">
        <f t="shared" ca="1" si="283"/>
        <v>0</v>
      </c>
      <c r="X231" s="1416">
        <f t="shared" ca="1" si="283"/>
        <v>1.9431749999999999</v>
      </c>
      <c r="Y231" s="256" cm="1">
        <f t="array" aca="1" ref="Y231" ca="1">_xlfn.SWITCH(T231,Y$3,V231+Z231,W$3,W231,0)</f>
        <v>0</v>
      </c>
      <c r="Z231" s="1410" cm="1">
        <f t="array" aca="1" ref="Z231" ca="1">IFERROR(INDEX('Eléments de constr. inté. et ex'!L:L, $F230)*$K231/$M231,0)/$I$1*(1-0.8*N231)</f>
        <v>1.5675000000000001E-2</v>
      </c>
      <c r="AA231" s="1460">
        <f t="shared" ca="1" si="359"/>
        <v>3.8863499999999993</v>
      </c>
      <c r="AB231" s="1460"/>
    </row>
    <row r="232" spans="2:28" ht="15.75" outlineLevel="1">
      <c r="B232" s="1871"/>
      <c r="C232" s="1874"/>
      <c r="D232" s="163"/>
      <c r="E232" s="163"/>
      <c r="F232" s="163">
        <f t="shared" ref="F232" ca="1" si="361">IF(I232=0,2,F231+1)</f>
        <v>2</v>
      </c>
      <c r="G232" s="163" cm="1">
        <f t="array" aca="1" ref="G232" ca="1">INDEX( 'Eléments de constr. inté. et ex'!C:C, $F231)</f>
        <v>0</v>
      </c>
      <c r="H232" s="163" cm="1">
        <f t="array" aca="1" ref="H232" ca="1">INDEX( 'Eléments de constr. inté. et ex'!D:D, $F231)</f>
        <v>0</v>
      </c>
      <c r="I232" s="163" cm="1">
        <f t="array" aca="1" ref="I232" ca="1">INDEX( 'Eléments de constr. inté. et ex'!G:G, $F231)</f>
        <v>0</v>
      </c>
      <c r="J232" s="163">
        <f ca="1">_xlfn.XLOOKUP($I232,'Baumaterialien Matériaux'!A:A,'Baumaterialien Matériaux'!G:G,0,0)</f>
        <v>0</v>
      </c>
      <c r="K232" s="262">
        <f t="shared" ca="1" si="360"/>
        <v>0</v>
      </c>
      <c r="L232" s="163" cm="1">
        <f t="array" aca="1" ref="L232" ca="1">INDEX( 'Eléments de constr. inté. et ex'!J:J, $F231)</f>
        <v>30</v>
      </c>
      <c r="M232" s="1522" cm="1">
        <f t="array" aca="1" ref="M232" ca="1">INDEX( 'Eléments de constr. inté. et ex'!H:H, $F231)</f>
        <v>0</v>
      </c>
      <c r="N232" s="1627">
        <f>'Outil détaillé'!E$52</f>
        <v>0</v>
      </c>
      <c r="O232" s="1502" cm="1">
        <f t="array" aca="1" ref="O232" ca="1">IFERROR(INDEX('Eléments de constr. inté. et ex'!M:M, $F231)*$K232/$M232,0)/$I$1*(1-0.8*N232)</f>
        <v>0</v>
      </c>
      <c r="P232" s="1416">
        <f t="shared" ca="1" si="281"/>
        <v>0</v>
      </c>
      <c r="Q232" s="1416">
        <f t="shared" ca="1" si="281"/>
        <v>0</v>
      </c>
      <c r="R232" s="256" cm="1">
        <f t="array" aca="1" ref="R232" ca="1">_xlfn.SWITCH(L232,R$3,O232+S232,P$3,P232,0)</f>
        <v>0</v>
      </c>
      <c r="S232" s="1410" cm="1">
        <f t="array" aca="1" ref="S232" ca="1">IFERROR(INDEX('Eléments de constr. inté. et ex'!N:N, $F231)*$K232/$M232,0)/$I$1*(1-0.8*N232)</f>
        <v>0</v>
      </c>
      <c r="T232" s="1411">
        <f t="shared" ca="1" si="358"/>
        <v>0</v>
      </c>
      <c r="U232" s="1530" cm="1">
        <f t="array" aca="1" ref="U232" ca="1">IFERROR(INDEX('Eléments de constr. inté. et ex'!O:O, $F231)*$K232/$M232,0)/$I$1*(1-0.8*N232)</f>
        <v>0</v>
      </c>
      <c r="V232" s="1502" cm="1">
        <f t="array" aca="1" ref="V232" ca="1">IFERROR(INDEX('Eléments de constr. inté. et ex'!K:K, $F231)*$K232/$M232,0)/$I$1*(1-0.8*N232)</f>
        <v>0</v>
      </c>
      <c r="W232" s="1416">
        <f t="shared" ca="1" si="283"/>
        <v>0</v>
      </c>
      <c r="X232" s="1416">
        <f t="shared" ca="1" si="283"/>
        <v>0</v>
      </c>
      <c r="Y232" s="256" cm="1">
        <f t="array" aca="1" ref="Y232" ca="1">_xlfn.SWITCH(T232,Y$3,V232+Z232,W$3,W232,0)</f>
        <v>0</v>
      </c>
      <c r="Z232" s="1410" cm="1">
        <f t="array" aca="1" ref="Z232" ca="1">IFERROR(INDEX('Eléments de constr. inté. et ex'!L:L, $F231)*$K232/$M232,0)/$I$1*(1-0.8*N232)</f>
        <v>0</v>
      </c>
      <c r="AA232" s="1460">
        <f t="shared" ca="1" si="359"/>
        <v>0</v>
      </c>
      <c r="AB232" s="1460"/>
    </row>
    <row r="233" spans="2:28" ht="15.75">
      <c r="B233" s="1871"/>
      <c r="C233" s="1873" t="str">
        <f>'Outil détaillé'!C53</f>
        <v>G03</v>
      </c>
      <c r="D233" s="162" t="str">
        <f>'Outil détaillé'!D53</f>
        <v>Revêtement intérieurs parois</v>
      </c>
      <c r="E233" s="162"/>
      <c r="F233" s="162">
        <f>MATCH(D233, 'Eléments de constr. inté. et ex'!B:B,0)</f>
        <v>155</v>
      </c>
      <c r="G233" s="162"/>
      <c r="H233" s="162"/>
      <c r="I233" s="162"/>
      <c r="J233" s="162"/>
      <c r="K233" s="265"/>
      <c r="L233" s="264"/>
      <c r="M233" s="1523"/>
      <c r="N233" s="1628"/>
      <c r="O233" s="1503">
        <f t="shared" ref="O233" ca="1" si="362">O234+O240</f>
        <v>31.716405000000002</v>
      </c>
      <c r="P233" s="1504">
        <f t="shared" ref="P233:V233" ca="1" si="363">P234+P240</f>
        <v>0</v>
      </c>
      <c r="Q233" s="1504">
        <f t="shared" ca="1" si="363"/>
        <v>33.565966875000001</v>
      </c>
      <c r="R233" s="1504">
        <f t="shared" ca="1" si="363"/>
        <v>0</v>
      </c>
      <c r="S233" s="1504">
        <f t="shared" ca="1" si="363"/>
        <v>1.849561875</v>
      </c>
      <c r="T233" s="1504">
        <f t="shared" ca="1" si="363"/>
        <v>67.131933750000002</v>
      </c>
      <c r="U233" s="1505">
        <f t="shared" ca="1" si="363"/>
        <v>0</v>
      </c>
      <c r="V233" s="1503">
        <f t="shared" ca="1" si="363"/>
        <v>102.59801999999999</v>
      </c>
      <c r="W233" s="1504">
        <f t="shared" ref="W233:Z233" ca="1" si="364">W234+W240</f>
        <v>0</v>
      </c>
      <c r="X233" s="1504">
        <f t="shared" ca="1" si="364"/>
        <v>109.02050775000001</v>
      </c>
      <c r="Y233" s="1504">
        <f t="shared" ca="1" si="364"/>
        <v>0</v>
      </c>
      <c r="Z233" s="1504">
        <f t="shared" ca="1" si="364"/>
        <v>6.4224877500000002</v>
      </c>
      <c r="AA233" s="1505">
        <f t="shared" ref="AA233" ca="1" si="365">AA234+AA240</f>
        <v>218.04101550000001</v>
      </c>
      <c r="AB233" s="1505"/>
    </row>
    <row r="234" spans="2:28" ht="15.75">
      <c r="B234" s="1871"/>
      <c r="C234" s="1874"/>
      <c r="D234" s="163" t="str">
        <f>'Outil détaillé'!D54</f>
        <v>Parois de l'enveloppe</v>
      </c>
      <c r="E234" s="164" t="str">
        <f>'Outil détaillé'!F54</f>
        <v>Enduit en plâtre et en ciment</v>
      </c>
      <c r="F234" s="801">
        <f ca="1">MATCH(E234, INDIRECT("'Eléments de constr. inté. et ex'!A"&amp;F233+1&amp;":A500"),0)+F233</f>
        <v>156</v>
      </c>
      <c r="G234" s="164"/>
      <c r="H234" s="164"/>
      <c r="I234" s="164"/>
      <c r="J234" s="512" t="s">
        <v>87</v>
      </c>
      <c r="K234" s="270">
        <f>'Outil détaillé'!K54</f>
        <v>217.6</v>
      </c>
      <c r="L234" s="271"/>
      <c r="M234" s="1467"/>
      <c r="N234" s="1623"/>
      <c r="O234" s="1488">
        <f t="shared" ref="O234" ca="1" si="366">SUM(O235:O239)</f>
        <v>15.35712</v>
      </c>
      <c r="P234" s="1489">
        <f t="shared" ref="P234:U234" ca="1" si="367">SUM(P235:P239)</f>
        <v>0</v>
      </c>
      <c r="Q234" s="1489">
        <f t="shared" ca="1" si="367"/>
        <v>16.252679999999998</v>
      </c>
      <c r="R234" s="1489">
        <f t="shared" ca="1" si="367"/>
        <v>0</v>
      </c>
      <c r="S234" s="1489">
        <f t="shared" ca="1" si="367"/>
        <v>0.89555999999999991</v>
      </c>
      <c r="T234" s="1489">
        <f t="shared" ca="1" si="367"/>
        <v>32.505359999999996</v>
      </c>
      <c r="U234" s="1490">
        <f t="shared" ca="1" si="367"/>
        <v>0</v>
      </c>
      <c r="V234" s="1488">
        <f t="shared" ref="V234" ca="1" si="368">SUM(V235:V239)</f>
        <v>49.678079999999994</v>
      </c>
      <c r="W234" s="1489">
        <f t="shared" ref="W234:Z234" ca="1" si="369">SUM(W235:W239)</f>
        <v>0</v>
      </c>
      <c r="X234" s="1489">
        <f t="shared" ca="1" si="369"/>
        <v>52.787855999999991</v>
      </c>
      <c r="Y234" s="1489">
        <f t="shared" ca="1" si="369"/>
        <v>0</v>
      </c>
      <c r="Z234" s="1489">
        <f t="shared" ca="1" si="369"/>
        <v>3.1097760000000001</v>
      </c>
      <c r="AA234" s="1490">
        <f t="shared" ref="AA234" ca="1" si="370">SUM(AA235:AA239)</f>
        <v>105.575712</v>
      </c>
      <c r="AB234" s="1490"/>
    </row>
    <row r="235" spans="2:28" ht="15.75" outlineLevel="1">
      <c r="B235" s="1871"/>
      <c r="C235" s="1874"/>
      <c r="D235" s="163"/>
      <c r="E235" s="163"/>
      <c r="F235" s="163">
        <f t="shared" ref="F235" ca="1" si="371">IF(I235=0,2,F234+1)</f>
        <v>157</v>
      </c>
      <c r="G235" s="163" t="str" cm="1">
        <f t="array" aca="1" ref="G235" ca="1">INDEX( 'Eléments de constr. inté. et ex'!C:C, $F234)</f>
        <v>Kalk-Zementgrundputz [kg]</v>
      </c>
      <c r="H235" s="163" t="str" cm="1">
        <f t="array" aca="1" ref="H235" ca="1">INDEX( 'Eléments de constr. inté. et ex'!D:D, $F234)</f>
        <v>Enduit en plâtre et en ciment</v>
      </c>
      <c r="I235" s="163" t="str" cm="1">
        <f t="array" aca="1" ref="I235" ca="1">INDEX( 'Eléments de constr. inté. et ex'!G:G, $F234)</f>
        <v>04.013</v>
      </c>
      <c r="J235" s="163" t="str">
        <f ca="1">_xlfn.XLOOKUP($I235,'Baumaterialien Matériaux'!A:A,'Baumaterialien Matériaux'!G:G,0,0)</f>
        <v>kg</v>
      </c>
      <c r="K235" s="262">
        <f ca="1">M235*$K$234</f>
        <v>7833.5999999999995</v>
      </c>
      <c r="L235" s="163" cm="1">
        <f t="array" aca="1" ref="L235" ca="1">INDEX( 'Eléments de constr. inté. et ex'!J:J, $F234)</f>
        <v>30</v>
      </c>
      <c r="M235" s="1522" cm="1">
        <f t="array" aca="1" ref="M235" ca="1">INDEX( 'Eléments de constr. inté. et ex'!H:H, $F234)</f>
        <v>36</v>
      </c>
      <c r="N235" s="1627">
        <f>'Outil détaillé'!E$54</f>
        <v>0</v>
      </c>
      <c r="O235" s="1502" cm="1">
        <f t="array" aca="1" ref="O235" ca="1">IFERROR(INDEX('Eléments de constr. inté. et ex'!M:M, $F234)*$K235/$M235,0)/$I$1*(1-0.8*N235)</f>
        <v>12.288959999999999</v>
      </c>
      <c r="P235" s="1416">
        <f t="shared" ref="P235:Q239" ca="1" si="372">IF($L235=P$3,$O235+$S235,0)</f>
        <v>0</v>
      </c>
      <c r="Q235" s="1416">
        <f t="shared" ca="1" si="372"/>
        <v>12.910751999999999</v>
      </c>
      <c r="R235" s="256" cm="1">
        <f t="array" aca="1" ref="R235" ca="1">_xlfn.SWITCH(L235,R$3,O235+S235,P$3,P235,0)</f>
        <v>0</v>
      </c>
      <c r="S235" s="1410" cm="1">
        <f t="array" aca="1" ref="S235" ca="1">IFERROR(INDEX('Eléments de constr. inté. et ex'!N:N, $F234)*$K235/$M235,0)/$I$1*(1-0.8*N235)</f>
        <v>0.6217919999999999</v>
      </c>
      <c r="T235" s="1411">
        <f t="shared" ref="T235:T239" ca="1" si="373">SUM(O235:S235)</f>
        <v>25.821503999999997</v>
      </c>
      <c r="U235" s="1530" cm="1">
        <f t="array" aca="1" ref="U235" ca="1">IFERROR(INDEX('Eléments de constr. inté. et ex'!O:O, $F234)*$K235/$M235,0)/$I$1*(1-0.8*N235)</f>
        <v>0</v>
      </c>
      <c r="V235" s="1502" cm="1">
        <f t="array" aca="1" ref="V235" ca="1">IFERROR(INDEX('Eléments de constr. inté. et ex'!K:K, $F234)*$K235/$M235,0)/$I$1*(1-0.8*N235)</f>
        <v>32.411519999999996</v>
      </c>
      <c r="W235" s="1416">
        <f t="shared" ref="W235:X239" ca="1" si="374">IF($L235=W$3,$V235+$Z235,0)</f>
        <v>0</v>
      </c>
      <c r="X235" s="1416">
        <f t="shared" ca="1" si="374"/>
        <v>34.977023999999993</v>
      </c>
      <c r="Y235" s="256" cm="1">
        <f t="array" aca="1" ref="Y235" ca="1">_xlfn.SWITCH(T235,Y$3,V235+Z235,W$3,W235,0)</f>
        <v>0</v>
      </c>
      <c r="Z235" s="1410" cm="1">
        <f t="array" aca="1" ref="Z235" ca="1">IFERROR(INDEX('Eléments de constr. inté. et ex'!L:L, $F234)*$K235/$M235,0)/$I$1*(1-0.8*N235)</f>
        <v>2.5655039999999998</v>
      </c>
      <c r="AA235" s="1460">
        <f t="shared" ref="AA235:AA239" ca="1" si="375">SUM(V235:Z235)</f>
        <v>69.954048</v>
      </c>
      <c r="AB235" s="1460"/>
    </row>
    <row r="236" spans="2:28" ht="15.75" customHeight="1" outlineLevel="1">
      <c r="B236" s="1871"/>
      <c r="C236" s="1874"/>
      <c r="D236" s="163"/>
      <c r="E236" s="163"/>
      <c r="F236" s="163">
        <f t="shared" ref="F236:F239" ca="1" si="376">IF(I236=0,2,F235+1)</f>
        <v>158</v>
      </c>
      <c r="G236" s="163" t="str" cm="1">
        <f t="array" aca="1" ref="G236" ca="1">INDEX( 'Eléments de constr. inté. et ex'!C:C, $F235)</f>
        <v>Deckputz (Weissputz) [kg]</v>
      </c>
      <c r="H236" s="163" t="str" cm="1">
        <f t="array" aca="1" ref="H236" ca="1">INDEX( 'Eléments de constr. inté. et ex'!D:D, $F235)</f>
        <v>Enduit minéral</v>
      </c>
      <c r="I236" s="163" t="str" cm="1">
        <f t="array" aca="1" ref="I236" ca="1">INDEX( 'Eléments de constr. inté. et ex'!G:G, $F235)</f>
        <v>04.001</v>
      </c>
      <c r="J236" s="163" t="str">
        <f ca="1">_xlfn.XLOOKUP($I236,'Baumaterialien Matériaux'!A:A,'Baumaterialien Matériaux'!G:G,0,0)</f>
        <v>kg</v>
      </c>
      <c r="K236" s="262">
        <f t="shared" ref="K236:K239" ca="1" si="377">M236*$K$234</f>
        <v>1523.2</v>
      </c>
      <c r="L236" s="163" cm="1">
        <f t="array" aca="1" ref="L236" ca="1">INDEX( 'Eléments de constr. inté. et ex'!J:J, $F235)</f>
        <v>30</v>
      </c>
      <c r="M236" s="1522" cm="1">
        <f t="array" aca="1" ref="M236" ca="1">INDEX( 'Eléments de constr. inté. et ex'!H:H, $F235)</f>
        <v>7</v>
      </c>
      <c r="N236" s="1627">
        <f>'Outil détaillé'!E$54</f>
        <v>0</v>
      </c>
      <c r="O236" s="1502" cm="1">
        <f t="array" aca="1" ref="O236" ca="1">IFERROR(INDEX('Eléments de constr. inté. et ex'!M:M, $F235)*$K236/$M236,0)/$I$1*(1-0.8*N236)</f>
        <v>1.3137600000000003</v>
      </c>
      <c r="P236" s="1416">
        <f t="shared" ca="1" si="372"/>
        <v>0</v>
      </c>
      <c r="Q236" s="1416">
        <f t="shared" ca="1" si="372"/>
        <v>1.4346640000000002</v>
      </c>
      <c r="R236" s="256" cm="1">
        <f t="array" aca="1" ref="R236" ca="1">_xlfn.SWITCH(L236,R$3,O236+S236,P$3,P236,0)</f>
        <v>0</v>
      </c>
      <c r="S236" s="1410" cm="1">
        <f t="array" aca="1" ref="S236" ca="1">IFERROR(INDEX('Eléments de constr. inté. et ex'!N:N, $F235)*$K236/$M236,0)/$I$1*(1-0.8*N236)</f>
        <v>0.12090399999999998</v>
      </c>
      <c r="T236" s="1411">
        <f t="shared" ca="1" si="373"/>
        <v>2.8693280000000003</v>
      </c>
      <c r="U236" s="1530" cm="1">
        <f t="array" aca="1" ref="U236" ca="1">IFERROR(INDEX('Eléments de constr. inté. et ex'!O:O, $F235)*$K236/$M236,0)/$I$1*(1-0.8*N236)</f>
        <v>0</v>
      </c>
      <c r="V236" s="1502" cm="1">
        <f t="array" aca="1" ref="V236" ca="1">IFERROR(INDEX('Eléments de constr. inté. et ex'!K:K, $F235)*$K236/$M236,0)/$I$1*(1-0.8*N236)</f>
        <v>5.9785599999999999</v>
      </c>
      <c r="W236" s="1416">
        <f t="shared" ca="1" si="374"/>
        <v>0</v>
      </c>
      <c r="X236" s="1416">
        <f t="shared" ca="1" si="374"/>
        <v>6.4774079999999996</v>
      </c>
      <c r="Y236" s="256" cm="1">
        <f t="array" aca="1" ref="Y236" ca="1">_xlfn.SWITCH(T236,Y$3,V236+Z236,W$3,W236,0)</f>
        <v>0</v>
      </c>
      <c r="Z236" s="1410" cm="1">
        <f t="array" aca="1" ref="Z236" ca="1">IFERROR(INDEX('Eléments de constr. inté. et ex'!L:L, $F235)*$K236/$M236,0)/$I$1*(1-0.8*N236)</f>
        <v>0.49884800000000007</v>
      </c>
      <c r="AA236" s="1460">
        <f t="shared" ca="1" si="375"/>
        <v>12.954815999999999</v>
      </c>
      <c r="AB236" s="1460"/>
    </row>
    <row r="237" spans="2:28" ht="15.75" outlineLevel="1">
      <c r="B237" s="1871"/>
      <c r="C237" s="1874"/>
      <c r="D237" s="163"/>
      <c r="E237" s="163"/>
      <c r="F237" s="163">
        <f t="shared" ca="1" si="376"/>
        <v>159</v>
      </c>
      <c r="G237" s="163" t="str" cm="1">
        <f t="array" aca="1" ref="G237" ca="1">INDEX( 'Eléments de constr. inté. et ex'!C:C, $F236)</f>
        <v>Wanddispersion [m2]</v>
      </c>
      <c r="H237" s="163" t="str" cm="1">
        <f t="array" aca="1" ref="H237" ca="1">INDEX( 'Eléments de constr. inté. et ex'!D:D, $F236)</f>
        <v>Enduit, diluable à l'eau, 2 couches</v>
      </c>
      <c r="I237" s="163" t="str" cm="1">
        <f t="array" aca="1" ref="I237" ca="1">INDEX( 'Eléments de constr. inté. et ex'!G:G, $F236)</f>
        <v>14.001</v>
      </c>
      <c r="J237" s="163" t="str">
        <f ca="1">_xlfn.XLOOKUP($I237,'Baumaterialien Matériaux'!A:A,'Baumaterialien Matériaux'!G:G,0,0)</f>
        <v>m2</v>
      </c>
      <c r="K237" s="262">
        <f t="shared" ca="1" si="377"/>
        <v>435.2</v>
      </c>
      <c r="L237" s="163" cm="1">
        <f t="array" aca="1" ref="L237" ca="1">INDEX( 'Eléments de constr. inté. et ex'!J:J, $F236)</f>
        <v>30</v>
      </c>
      <c r="M237" s="1522" cm="1">
        <f t="array" aca="1" ref="M237" ca="1">INDEX( 'Eléments de constr. inté. et ex'!H:H, $F236)</f>
        <v>2</v>
      </c>
      <c r="N237" s="1627">
        <f>'Outil détaillé'!E$54</f>
        <v>0</v>
      </c>
      <c r="O237" s="1502" cm="1">
        <f t="array" aca="1" ref="O237" ca="1">IFERROR(INDEX('Eléments de constr. inté. et ex'!M:M, $F236)*$K237/$M237,0)/$I$1*(1-0.8*N237)</f>
        <v>1.7544</v>
      </c>
      <c r="P237" s="1416">
        <f t="shared" ca="1" si="372"/>
        <v>0</v>
      </c>
      <c r="Q237" s="1416">
        <f t="shared" ca="1" si="372"/>
        <v>1.9072640000000001</v>
      </c>
      <c r="R237" s="256" cm="1">
        <f t="array" aca="1" ref="R237" ca="1">_xlfn.SWITCH(L237,R$3,O237+S237,P$3,P237,0)</f>
        <v>0</v>
      </c>
      <c r="S237" s="1410" cm="1">
        <f t="array" aca="1" ref="S237" ca="1">IFERROR(INDEX('Eléments de constr. inté. et ex'!N:N, $F236)*$K237/$M237,0)/$I$1*(1-0.8*N237)</f>
        <v>0.152864</v>
      </c>
      <c r="T237" s="1411">
        <f t="shared" ca="1" si="373"/>
        <v>3.8145280000000001</v>
      </c>
      <c r="U237" s="1530" cm="1">
        <f t="array" aca="1" ref="U237" ca="1">IFERROR(INDEX('Eléments de constr. inté. et ex'!O:O, $F236)*$K237/$M237,0)/$I$1*(1-0.8*N237)</f>
        <v>0</v>
      </c>
      <c r="V237" s="1502" cm="1">
        <f t="array" aca="1" ref="V237" ca="1">IFERROR(INDEX('Eléments de constr. inté. et ex'!K:K, $F236)*$K237/$M237,0)/$I$1*(1-0.8*N237)</f>
        <v>11.288</v>
      </c>
      <c r="W237" s="1416">
        <f t="shared" ca="1" si="374"/>
        <v>0</v>
      </c>
      <c r="X237" s="1416">
        <f t="shared" ca="1" si="374"/>
        <v>11.333424000000001</v>
      </c>
      <c r="Y237" s="256" cm="1">
        <f t="array" aca="1" ref="Y237" ca="1">_xlfn.SWITCH(T237,Y$3,V237+Z237,W$3,W237,0)</f>
        <v>0</v>
      </c>
      <c r="Z237" s="1410" cm="1">
        <f t="array" aca="1" ref="Z237" ca="1">IFERROR(INDEX('Eléments de constr. inté. et ex'!L:L, $F236)*$K237/$M237,0)/$I$1*(1-0.8*N237)</f>
        <v>4.5423999999999999E-2</v>
      </c>
      <c r="AA237" s="1460">
        <f t="shared" ca="1" si="375"/>
        <v>22.666848000000002</v>
      </c>
      <c r="AB237" s="1460"/>
    </row>
    <row r="238" spans="2:28" ht="15.75" outlineLevel="1">
      <c r="B238" s="1871"/>
      <c r="C238" s="1874"/>
      <c r="D238" s="163"/>
      <c r="E238" s="163"/>
      <c r="F238" s="163">
        <f t="shared" ca="1" si="376"/>
        <v>2</v>
      </c>
      <c r="G238" s="163" cm="1">
        <f t="array" aca="1" ref="G238" ca="1">INDEX( 'Eléments de constr. inté. et ex'!C:C, $F237)</f>
        <v>0</v>
      </c>
      <c r="H238" s="163" cm="1">
        <f t="array" aca="1" ref="H238" ca="1">INDEX( 'Eléments de constr. inté. et ex'!D:D, $F237)</f>
        <v>0</v>
      </c>
      <c r="I238" s="163" cm="1">
        <f t="array" aca="1" ref="I238" ca="1">INDEX( 'Eléments de constr. inté. et ex'!G:G, $F237)</f>
        <v>0</v>
      </c>
      <c r="J238" s="163">
        <f ca="1">_xlfn.XLOOKUP($I238,'Baumaterialien Matériaux'!A:A,'Baumaterialien Matériaux'!G:G,0,0)</f>
        <v>0</v>
      </c>
      <c r="K238" s="262">
        <f t="shared" ca="1" si="377"/>
        <v>0</v>
      </c>
      <c r="L238" s="163" cm="1">
        <f t="array" aca="1" ref="L238" ca="1">INDEX( 'Eléments de constr. inté. et ex'!J:J, $F237)</f>
        <v>30</v>
      </c>
      <c r="M238" s="1522" cm="1">
        <f t="array" aca="1" ref="M238" ca="1">INDEX( 'Eléments de constr. inté. et ex'!H:H, $F237)</f>
        <v>0</v>
      </c>
      <c r="N238" s="1627">
        <f>'Outil détaillé'!E$54</f>
        <v>0</v>
      </c>
      <c r="O238" s="1502" cm="1">
        <f t="array" aca="1" ref="O238" ca="1">IFERROR(INDEX('Eléments de constr. inté. et ex'!M:M, $F237)*$K238/$M238,0)/$I$1*(1-0.8*N238)</f>
        <v>0</v>
      </c>
      <c r="P238" s="1416">
        <f t="shared" ca="1" si="372"/>
        <v>0</v>
      </c>
      <c r="Q238" s="1416">
        <f t="shared" ca="1" si="372"/>
        <v>0</v>
      </c>
      <c r="R238" s="256" cm="1">
        <f t="array" aca="1" ref="R238" ca="1">_xlfn.SWITCH(L238,R$3,O238+S238,P$3,P238,0)</f>
        <v>0</v>
      </c>
      <c r="S238" s="1410" cm="1">
        <f t="array" aca="1" ref="S238" ca="1">IFERROR(INDEX('Eléments de constr. inté. et ex'!N:N, $F237)*$K238/$M238,0)/$I$1*(1-0.8*N238)</f>
        <v>0</v>
      </c>
      <c r="T238" s="1411">
        <f t="shared" ca="1" si="373"/>
        <v>0</v>
      </c>
      <c r="U238" s="1530" cm="1">
        <f t="array" aca="1" ref="U238" ca="1">IFERROR(INDEX('Eléments de constr. inté. et ex'!O:O, $F237)*$K238/$M238,0)/$I$1*(1-0.8*N238)</f>
        <v>0</v>
      </c>
      <c r="V238" s="1502" cm="1">
        <f t="array" aca="1" ref="V238" ca="1">IFERROR(INDEX('Eléments de constr. inté. et ex'!K:K, $F237)*$K238/$M238,0)/$I$1*(1-0.8*N238)</f>
        <v>0</v>
      </c>
      <c r="W238" s="1416">
        <f t="shared" ca="1" si="374"/>
        <v>0</v>
      </c>
      <c r="X238" s="1416">
        <f t="shared" ca="1" si="374"/>
        <v>0</v>
      </c>
      <c r="Y238" s="256" cm="1">
        <f t="array" aca="1" ref="Y238" ca="1">_xlfn.SWITCH(T238,Y$3,V238+Z238,W$3,W238,0)</f>
        <v>0</v>
      </c>
      <c r="Z238" s="1410" cm="1">
        <f t="array" aca="1" ref="Z238" ca="1">IFERROR(INDEX('Eléments de constr. inté. et ex'!L:L, $F237)*$K238/$M238,0)/$I$1*(1-0.8*N238)</f>
        <v>0</v>
      </c>
      <c r="AA238" s="1460">
        <f t="shared" ca="1" si="375"/>
        <v>0</v>
      </c>
      <c r="AB238" s="1460"/>
    </row>
    <row r="239" spans="2:28" ht="15.75" outlineLevel="1">
      <c r="B239" s="1871"/>
      <c r="C239" s="1874"/>
      <c r="D239" s="163"/>
      <c r="E239" s="163"/>
      <c r="F239" s="163">
        <f t="shared" ca="1" si="376"/>
        <v>2</v>
      </c>
      <c r="G239" s="163" cm="1">
        <f t="array" aca="1" ref="G239" ca="1">INDEX( 'Eléments de constr. inté. et ex'!C:C, $F238)</f>
        <v>0</v>
      </c>
      <c r="H239" s="163" cm="1">
        <f t="array" aca="1" ref="H239" ca="1">INDEX( 'Eléments de constr. inté. et ex'!D:D, $F238)</f>
        <v>0</v>
      </c>
      <c r="I239" s="163" cm="1">
        <f t="array" aca="1" ref="I239" ca="1">INDEX( 'Eléments de constr. inté. et ex'!G:G, $F238)</f>
        <v>0</v>
      </c>
      <c r="J239" s="163">
        <f ca="1">_xlfn.XLOOKUP($I239,'Baumaterialien Matériaux'!A:A,'Baumaterialien Matériaux'!G:G,0,0)</f>
        <v>0</v>
      </c>
      <c r="K239" s="262">
        <f t="shared" ca="1" si="377"/>
        <v>0</v>
      </c>
      <c r="L239" s="163" cm="1">
        <f t="array" aca="1" ref="L239" ca="1">INDEX( 'Eléments de constr. inté. et ex'!J:J, $F238)</f>
        <v>0</v>
      </c>
      <c r="M239" s="1522" cm="1">
        <f t="array" aca="1" ref="M239" ca="1">INDEX( 'Eléments de constr. inté. et ex'!H:H, $F238)</f>
        <v>0</v>
      </c>
      <c r="N239" s="1627">
        <f>'Outil détaillé'!E$54</f>
        <v>0</v>
      </c>
      <c r="O239" s="1502" cm="1">
        <f t="array" aca="1" ref="O239" ca="1">IFERROR(INDEX('Eléments de constr. inté. et ex'!M:M, $F238)*$K239/$M239,0)/$I$1*(1-0.8*N239)</f>
        <v>0</v>
      </c>
      <c r="P239" s="1416">
        <f t="shared" ca="1" si="372"/>
        <v>0</v>
      </c>
      <c r="Q239" s="1416">
        <f t="shared" ca="1" si="372"/>
        <v>0</v>
      </c>
      <c r="R239" s="256" cm="1">
        <f t="array" aca="1" ref="R239" ca="1">_xlfn.SWITCH(L239,R$3,O239+S239,P$3,P239,0)</f>
        <v>0</v>
      </c>
      <c r="S239" s="1410" cm="1">
        <f t="array" aca="1" ref="S239" ca="1">IFERROR(INDEX('Eléments de constr. inté. et ex'!N:N, $F238)*$K239/$M239,0)/$I$1*(1-0.8*N239)</f>
        <v>0</v>
      </c>
      <c r="T239" s="1411">
        <f t="shared" ca="1" si="373"/>
        <v>0</v>
      </c>
      <c r="U239" s="1530" cm="1">
        <f t="array" aca="1" ref="U239" ca="1">IFERROR(INDEX('Eléments de constr. inté. et ex'!O:O, $F238)*$K239/$M239,0)/$I$1*(1-0.8*N239)</f>
        <v>0</v>
      </c>
      <c r="V239" s="1502" cm="1">
        <f t="array" aca="1" ref="V239" ca="1">IFERROR(INDEX('Eléments de constr. inté. et ex'!K:K, $F238)*$K239/$M239,0)/$I$1*(1-0.8*N239)</f>
        <v>0</v>
      </c>
      <c r="W239" s="1416">
        <f t="shared" ca="1" si="374"/>
        <v>0</v>
      </c>
      <c r="X239" s="1416">
        <f t="shared" ca="1" si="374"/>
        <v>0</v>
      </c>
      <c r="Y239" s="256" cm="1">
        <f t="array" aca="1" ref="Y239" ca="1">_xlfn.SWITCH(T239,Y$3,V239+Z239,W$3,W239,0)</f>
        <v>0</v>
      </c>
      <c r="Z239" s="1410" cm="1">
        <f t="array" aca="1" ref="Z239" ca="1">IFERROR(INDEX('Eléments de constr. inté. et ex'!L:L, $F238)*$K239/$M239,0)/$I$1*(1-0.8*N239)</f>
        <v>0</v>
      </c>
      <c r="AA239" s="1460">
        <f t="shared" ca="1" si="375"/>
        <v>0</v>
      </c>
      <c r="AB239" s="1460"/>
    </row>
    <row r="240" spans="2:28" ht="15.75">
      <c r="B240" s="1871"/>
      <c r="C240" s="1874"/>
      <c r="D240" s="163" t="str">
        <f>'Outil détaillé'!D55</f>
        <v>Parois internes</v>
      </c>
      <c r="E240" s="164" t="str">
        <f>'Outil détaillé'!F55</f>
        <v>Enduit en plâtre et en ciment</v>
      </c>
      <c r="F240" s="801">
        <f ca="1">MATCH(E240, INDIRECT("'Eléments de constr. inté. et ex'!A"&amp;F233+1&amp;":A500"),0)+F233</f>
        <v>156</v>
      </c>
      <c r="G240" s="164"/>
      <c r="H240" s="164"/>
      <c r="I240" s="164"/>
      <c r="J240" s="512" t="s">
        <v>87</v>
      </c>
      <c r="K240" s="270">
        <f>'Outil détaillé'!K55</f>
        <v>231.8</v>
      </c>
      <c r="L240" s="271"/>
      <c r="M240" s="1467"/>
      <c r="N240" s="1623"/>
      <c r="O240" s="1488">
        <f t="shared" ref="O240" ca="1" si="378">SUM(O241:O245)</f>
        <v>16.359285000000003</v>
      </c>
      <c r="P240" s="1489">
        <f t="shared" ref="P240:U240" ca="1" si="379">SUM(P241:P245)</f>
        <v>0</v>
      </c>
      <c r="Q240" s="1489">
        <f t="shared" ca="1" si="379"/>
        <v>17.313286875000003</v>
      </c>
      <c r="R240" s="1489">
        <f t="shared" ca="1" si="379"/>
        <v>0</v>
      </c>
      <c r="S240" s="1489">
        <f t="shared" ca="1" si="379"/>
        <v>0.95400187500000011</v>
      </c>
      <c r="T240" s="1489">
        <f t="shared" ca="1" si="379"/>
        <v>34.626573750000006</v>
      </c>
      <c r="U240" s="1490">
        <f t="shared" ca="1" si="379"/>
        <v>0</v>
      </c>
      <c r="V240" s="1488">
        <f t="shared" ref="V240" ca="1" si="380">SUM(V241:V245)</f>
        <v>52.919940000000004</v>
      </c>
      <c r="W240" s="1489">
        <f t="shared" ref="W240:Z240" ca="1" si="381">SUM(W241:W245)</f>
        <v>0</v>
      </c>
      <c r="X240" s="1489">
        <f t="shared" ca="1" si="381"/>
        <v>56.232651750000009</v>
      </c>
      <c r="Y240" s="1489">
        <f t="shared" ca="1" si="381"/>
        <v>0</v>
      </c>
      <c r="Z240" s="1489">
        <f t="shared" ca="1" si="381"/>
        <v>3.3127117500000005</v>
      </c>
      <c r="AA240" s="1490">
        <f t="shared" ref="AA240" ca="1" si="382">SUM(AA241:AA245)</f>
        <v>112.46530350000002</v>
      </c>
      <c r="AB240" s="1490"/>
    </row>
    <row r="241" spans="2:28" ht="15.75" outlineLevel="1">
      <c r="B241" s="1871"/>
      <c r="C241" s="1874"/>
      <c r="D241" s="163"/>
      <c r="E241" s="163"/>
      <c r="F241" s="163">
        <f t="shared" ref="F241:F245" ca="1" si="383">IF(I241=0,2,F240+1)</f>
        <v>157</v>
      </c>
      <c r="G241" s="163" t="str" cm="1">
        <f t="array" aca="1" ref="G241" ca="1">INDEX( 'Eléments de constr. inté. et ex'!C:C, $F240)</f>
        <v>Kalk-Zementgrundputz [kg]</v>
      </c>
      <c r="H241" s="163" t="str" cm="1">
        <f t="array" aca="1" ref="H241" ca="1">INDEX( 'Eléments de constr. inté. et ex'!D:D, $F240)</f>
        <v>Enduit en plâtre et en ciment</v>
      </c>
      <c r="I241" s="163" t="str" cm="1">
        <f t="array" aca="1" ref="I241" ca="1">INDEX( 'Eléments de constr. inté. et ex'!G:G, $F240)</f>
        <v>04.013</v>
      </c>
      <c r="J241" s="163" t="str">
        <f ca="1">_xlfn.XLOOKUP($I241,'Baumaterialien Matériaux'!A:A,'Baumaterialien Matériaux'!G:G,0,0)</f>
        <v>kg</v>
      </c>
      <c r="K241" s="262">
        <f ca="1">M241*$K$240</f>
        <v>8344.8000000000011</v>
      </c>
      <c r="L241" s="163" cm="1">
        <f t="array" aca="1" ref="L241" ca="1">INDEX( 'Eléments de constr. inté. et ex'!J:J, $F240)</f>
        <v>30</v>
      </c>
      <c r="M241" s="1522" cm="1">
        <f t="array" aca="1" ref="M241" ca="1">INDEX( 'Eléments de constr. inté. et ex'!H:H, $F240)</f>
        <v>36</v>
      </c>
      <c r="N241" s="1627">
        <f>'Outil détaillé'!E$55</f>
        <v>0</v>
      </c>
      <c r="O241" s="1502" cm="1">
        <f t="array" aca="1" ref="O241" ca="1">IFERROR(INDEX('Eléments de constr. inté. et ex'!M:M, $F240)*$K241/$M241,0)/$I$1*(1-0.8*N241)</f>
        <v>13.090905000000001</v>
      </c>
      <c r="P241" s="1416">
        <f t="shared" ref="P241:Q245" ca="1" si="384">IF($L241=P$3,$O241+$S241,0)</f>
        <v>0</v>
      </c>
      <c r="Q241" s="1416">
        <f t="shared" ca="1" si="384"/>
        <v>13.753273500000001</v>
      </c>
      <c r="R241" s="256" cm="1">
        <f t="array" aca="1" ref="R241" ca="1">_xlfn.SWITCH(L241,R$3,O241+S241,P$3,P241,0)</f>
        <v>0</v>
      </c>
      <c r="S241" s="1410" cm="1">
        <f t="array" aca="1" ref="S241" ca="1">IFERROR(INDEX('Eléments de constr. inté. et ex'!N:N, $F240)*$K241/$M241,0)/$I$1*(1-0.8*N241)</f>
        <v>0.66236850000000014</v>
      </c>
      <c r="T241" s="1411">
        <f t="shared" ref="T241:T245" ca="1" si="385">SUM(O241:S241)</f>
        <v>27.506547000000001</v>
      </c>
      <c r="U241" s="1530" cm="1">
        <f t="array" aca="1" ref="U241" ca="1">IFERROR(INDEX('Eléments de constr. inté. et ex'!O:O, $F240)*$K241/$M241,0)/$I$1*(1-0.8*N241)</f>
        <v>0</v>
      </c>
      <c r="V241" s="1502" cm="1">
        <f t="array" aca="1" ref="V241" ca="1">IFERROR(INDEX('Eléments de constr. inté. et ex'!K:K, $F240)*$K241/$M241,0)/$I$1*(1-0.8*N241)</f>
        <v>34.526610000000005</v>
      </c>
      <c r="W241" s="1416">
        <f t="shared" ref="W241:X245" ca="1" si="386">IF($L241=W$3,$V241+$Z241,0)</f>
        <v>0</v>
      </c>
      <c r="X241" s="1416">
        <f t="shared" ca="1" si="386"/>
        <v>37.259532000000007</v>
      </c>
      <c r="Y241" s="256" cm="1">
        <f t="array" aca="1" ref="Y241" ca="1">_xlfn.SWITCH(T241,Y$3,V241+Z241,W$3,W241,0)</f>
        <v>0</v>
      </c>
      <c r="Z241" s="1410" cm="1">
        <f t="array" aca="1" ref="Z241" ca="1">IFERROR(INDEX('Eléments de constr. inté. et ex'!L:L, $F240)*$K241/$M241,0)/$I$1*(1-0.8*N241)</f>
        <v>2.7329220000000007</v>
      </c>
      <c r="AA241" s="1460">
        <f t="shared" ref="AA241:AA245" ca="1" si="387">SUM(V241:Z241)</f>
        <v>74.519064000000014</v>
      </c>
      <c r="AB241" s="1460"/>
    </row>
    <row r="242" spans="2:28" ht="15.75" outlineLevel="1">
      <c r="B242" s="1871"/>
      <c r="C242" s="1874"/>
      <c r="D242" s="163"/>
      <c r="E242" s="163"/>
      <c r="F242" s="163">
        <f t="shared" ca="1" si="383"/>
        <v>158</v>
      </c>
      <c r="G242" s="163" t="str" cm="1">
        <f t="array" aca="1" ref="G242" ca="1">INDEX( 'Eléments de constr. inté. et ex'!C:C, $F241)</f>
        <v>Deckputz (Weissputz) [kg]</v>
      </c>
      <c r="H242" s="163" t="str" cm="1">
        <f t="array" aca="1" ref="H242" ca="1">INDEX( 'Eléments de constr. inté. et ex'!D:D, $F241)</f>
        <v>Enduit minéral</v>
      </c>
      <c r="I242" s="163" t="str" cm="1">
        <f t="array" aca="1" ref="I242" ca="1">INDEX( 'Eléments de constr. inté. et ex'!G:G, $F241)</f>
        <v>04.001</v>
      </c>
      <c r="J242" s="163" t="str">
        <f ca="1">_xlfn.XLOOKUP($I242,'Baumaterialien Matériaux'!A:A,'Baumaterialien Matériaux'!G:G,0,0)</f>
        <v>kg</v>
      </c>
      <c r="K242" s="262">
        <f t="shared" ref="K242:K245" ca="1" si="388">M242*$K$240</f>
        <v>1622.6000000000001</v>
      </c>
      <c r="L242" s="163" cm="1">
        <f t="array" aca="1" ref="L242" ca="1">INDEX( 'Eléments de constr. inté. et ex'!J:J, $F241)</f>
        <v>30</v>
      </c>
      <c r="M242" s="1522" cm="1">
        <f t="array" aca="1" ref="M242" ca="1">INDEX( 'Eléments de constr. inté. et ex'!H:H, $F241)</f>
        <v>7</v>
      </c>
      <c r="N242" s="1627">
        <f>'Outil détaillé'!E$55</f>
        <v>0</v>
      </c>
      <c r="O242" s="1502" cm="1">
        <f t="array" aca="1" ref="O242" ca="1">IFERROR(INDEX('Eléments de constr. inté. et ex'!M:M, $F241)*$K242/$M242,0)/$I$1*(1-0.8*N242)</f>
        <v>1.3994925000000005</v>
      </c>
      <c r="P242" s="1416">
        <f t="shared" ca="1" si="384"/>
        <v>0</v>
      </c>
      <c r="Q242" s="1416">
        <f t="shared" ca="1" si="384"/>
        <v>1.5282863750000004</v>
      </c>
      <c r="R242" s="256" cm="1">
        <f t="array" aca="1" ref="R242" ca="1">_xlfn.SWITCH(L242,R$3,O242+S242,P$3,P242,0)</f>
        <v>0</v>
      </c>
      <c r="S242" s="1410" cm="1">
        <f t="array" aca="1" ref="S242" ca="1">IFERROR(INDEX('Eléments de constr. inté. et ex'!N:N, $F241)*$K242/$M242,0)/$I$1*(1-0.8*N242)</f>
        <v>0.128793875</v>
      </c>
      <c r="T242" s="1411">
        <f t="shared" ca="1" si="385"/>
        <v>3.0565727500000008</v>
      </c>
      <c r="U242" s="1530" cm="1">
        <f t="array" aca="1" ref="U242" ca="1">IFERROR(INDEX('Eléments de constr. inté. et ex'!O:O, $F241)*$K242/$M242,0)/$I$1*(1-0.8*N242)</f>
        <v>0</v>
      </c>
      <c r="V242" s="1502" cm="1">
        <f t="array" aca="1" ref="V242" ca="1">IFERROR(INDEX('Eléments de constr. inté. et ex'!K:K, $F241)*$K242/$M242,0)/$I$1*(1-0.8*N242)</f>
        <v>6.3687050000000003</v>
      </c>
      <c r="W242" s="1416">
        <f t="shared" ca="1" si="386"/>
        <v>0</v>
      </c>
      <c r="X242" s="1416">
        <f t="shared" ca="1" si="386"/>
        <v>6.9001065000000006</v>
      </c>
      <c r="Y242" s="256" cm="1">
        <f t="array" aca="1" ref="Y242" ca="1">_xlfn.SWITCH(T242,Y$3,V242+Z242,W$3,W242,0)</f>
        <v>0</v>
      </c>
      <c r="Z242" s="1410" cm="1">
        <f t="array" aca="1" ref="Z242" ca="1">IFERROR(INDEX('Eléments de constr. inté. et ex'!L:L, $F241)*$K242/$M242,0)/$I$1*(1-0.8*N242)</f>
        <v>0.53140150000000008</v>
      </c>
      <c r="AA242" s="1460">
        <f t="shared" ca="1" si="387"/>
        <v>13.800213000000001</v>
      </c>
      <c r="AB242" s="1460"/>
    </row>
    <row r="243" spans="2:28" ht="15.75" outlineLevel="1">
      <c r="B243" s="1871"/>
      <c r="C243" s="1874"/>
      <c r="D243" s="163"/>
      <c r="E243" s="163"/>
      <c r="F243" s="163">
        <f t="shared" ca="1" si="383"/>
        <v>159</v>
      </c>
      <c r="G243" s="163" t="str" cm="1">
        <f t="array" aca="1" ref="G243" ca="1">INDEX( 'Eléments de constr. inté. et ex'!C:C, $F242)</f>
        <v>Wanddispersion [m2]</v>
      </c>
      <c r="H243" s="163" t="str" cm="1">
        <f t="array" aca="1" ref="H243" ca="1">INDEX( 'Eléments de constr. inté. et ex'!D:D, $F242)</f>
        <v>Enduit, diluable à l'eau, 2 couches</v>
      </c>
      <c r="I243" s="163" t="str" cm="1">
        <f t="array" aca="1" ref="I243" ca="1">INDEX( 'Eléments de constr. inté. et ex'!G:G, $F242)</f>
        <v>14.001</v>
      </c>
      <c r="J243" s="163" t="str">
        <f ca="1">_xlfn.XLOOKUP($I243,'Baumaterialien Matériaux'!A:A,'Baumaterialien Matériaux'!G:G,0,0)</f>
        <v>m2</v>
      </c>
      <c r="K243" s="262">
        <f t="shared" ca="1" si="388"/>
        <v>463.6</v>
      </c>
      <c r="L243" s="163" cm="1">
        <f t="array" aca="1" ref="L243" ca="1">INDEX( 'Eléments de constr. inté. et ex'!J:J, $F242)</f>
        <v>30</v>
      </c>
      <c r="M243" s="1522" cm="1">
        <f t="array" aca="1" ref="M243" ca="1">INDEX( 'Eléments de constr. inté. et ex'!H:H, $F242)</f>
        <v>2</v>
      </c>
      <c r="N243" s="1627">
        <f>'Outil détaillé'!E$55</f>
        <v>0</v>
      </c>
      <c r="O243" s="1502" cm="1">
        <f t="array" aca="1" ref="O243" ca="1">IFERROR(INDEX('Eléments de constr. inté. et ex'!M:M, $F242)*$K243/$M243,0)/$I$1*(1-0.8*N243)</f>
        <v>1.8688875000000003</v>
      </c>
      <c r="P243" s="1416">
        <f t="shared" ca="1" si="384"/>
        <v>0</v>
      </c>
      <c r="Q243" s="1416">
        <f t="shared" ca="1" si="384"/>
        <v>2.0317270000000001</v>
      </c>
      <c r="R243" s="256" cm="1">
        <f t="array" aca="1" ref="R243" ca="1">_xlfn.SWITCH(L243,R$3,O243+S243,P$3,P243,0)</f>
        <v>0</v>
      </c>
      <c r="S243" s="1410" cm="1">
        <f t="array" aca="1" ref="S243" ca="1">IFERROR(INDEX('Eléments de constr. inté. et ex'!N:N, $F242)*$K243/$M243,0)/$I$1*(1-0.8*N243)</f>
        <v>0.1628395</v>
      </c>
      <c r="T243" s="1411">
        <f t="shared" ca="1" si="385"/>
        <v>4.0634540000000001</v>
      </c>
      <c r="U243" s="1530" cm="1">
        <f t="array" aca="1" ref="U243" ca="1">IFERROR(INDEX('Eléments de constr. inté. et ex'!O:O, $F242)*$K243/$M243,0)/$I$1*(1-0.8*N243)</f>
        <v>0</v>
      </c>
      <c r="V243" s="1502" cm="1">
        <f t="array" aca="1" ref="V243" ca="1">IFERROR(INDEX('Eléments de constr. inté. et ex'!K:K, $F242)*$K243/$M243,0)/$I$1*(1-0.8*N243)</f>
        <v>12.024625000000002</v>
      </c>
      <c r="W243" s="1416">
        <f t="shared" ca="1" si="386"/>
        <v>0</v>
      </c>
      <c r="X243" s="1416">
        <f t="shared" ca="1" si="386"/>
        <v>12.073013250000002</v>
      </c>
      <c r="Y243" s="256" cm="1">
        <f t="array" aca="1" ref="Y243" ca="1">_xlfn.SWITCH(T243,Y$3,V243+Z243,W$3,W243,0)</f>
        <v>0</v>
      </c>
      <c r="Z243" s="1410" cm="1">
        <f t="array" aca="1" ref="Z243" ca="1">IFERROR(INDEX('Eléments de constr. inté. et ex'!L:L, $F242)*$K243/$M243,0)/$I$1*(1-0.8*N243)</f>
        <v>4.8388250000000001E-2</v>
      </c>
      <c r="AA243" s="1460">
        <f t="shared" ca="1" si="387"/>
        <v>24.146026500000001</v>
      </c>
      <c r="AB243" s="1460"/>
    </row>
    <row r="244" spans="2:28" ht="15.75" outlineLevel="1">
      <c r="B244" s="1871"/>
      <c r="C244" s="1874"/>
      <c r="D244" s="163"/>
      <c r="E244" s="163"/>
      <c r="F244" s="163">
        <f t="shared" ca="1" si="383"/>
        <v>2</v>
      </c>
      <c r="G244" s="163" cm="1">
        <f t="array" aca="1" ref="G244" ca="1">INDEX( 'Eléments de constr. inté. et ex'!C:C, $F243)</f>
        <v>0</v>
      </c>
      <c r="H244" s="163" cm="1">
        <f t="array" aca="1" ref="H244" ca="1">INDEX( 'Eléments de constr. inté. et ex'!D:D, $F243)</f>
        <v>0</v>
      </c>
      <c r="I244" s="163" cm="1">
        <f t="array" aca="1" ref="I244" ca="1">INDEX( 'Eléments de constr. inté. et ex'!G:G, $F243)</f>
        <v>0</v>
      </c>
      <c r="J244" s="163">
        <f ca="1">_xlfn.XLOOKUP($I244,'Baumaterialien Matériaux'!A:A,'Baumaterialien Matériaux'!G:G,0,0)</f>
        <v>0</v>
      </c>
      <c r="K244" s="262">
        <f ca="1">M244*$K$240</f>
        <v>0</v>
      </c>
      <c r="L244" s="163" cm="1">
        <f t="array" aca="1" ref="L244" ca="1">INDEX( 'Eléments de constr. inté. et ex'!J:J, $F243)</f>
        <v>30</v>
      </c>
      <c r="M244" s="1522" cm="1">
        <f t="array" aca="1" ref="M244" ca="1">INDEX( 'Eléments de constr. inté. et ex'!H:H, $F243)</f>
        <v>0</v>
      </c>
      <c r="N244" s="1627">
        <f>'Outil détaillé'!E$55</f>
        <v>0</v>
      </c>
      <c r="O244" s="1502" cm="1">
        <f t="array" aca="1" ref="O244" ca="1">IFERROR(INDEX('Eléments de constr. inté. et ex'!M:M, $F243)*$K244/$M244,0)/$I$1*(1-0.8*N244)</f>
        <v>0</v>
      </c>
      <c r="P244" s="1416">
        <f t="shared" ca="1" si="384"/>
        <v>0</v>
      </c>
      <c r="Q244" s="1416">
        <f t="shared" ca="1" si="384"/>
        <v>0</v>
      </c>
      <c r="R244" s="256" cm="1">
        <f t="array" aca="1" ref="R244" ca="1">_xlfn.SWITCH(L244,R$3,O244+S244,P$3,P244,0)</f>
        <v>0</v>
      </c>
      <c r="S244" s="1410" cm="1">
        <f t="array" aca="1" ref="S244" ca="1">IFERROR(INDEX('Eléments de constr. inté. et ex'!N:N, $F243)*$K244/$M244,0)/$I$1*(1-0.8*N244)</f>
        <v>0</v>
      </c>
      <c r="T244" s="1411">
        <f t="shared" ca="1" si="385"/>
        <v>0</v>
      </c>
      <c r="U244" s="1530" cm="1">
        <f t="array" aca="1" ref="U244" ca="1">IFERROR(INDEX('Eléments de constr. inté. et ex'!O:O, $F243)*$K244/$M244,0)/$I$1*(1-0.8*N244)</f>
        <v>0</v>
      </c>
      <c r="V244" s="1502" cm="1">
        <f t="array" aca="1" ref="V244" ca="1">IFERROR(INDEX('Eléments de constr. inté. et ex'!K:K, $F243)*$K244/$M244,0)/$I$1*(1-0.8*N244)</f>
        <v>0</v>
      </c>
      <c r="W244" s="1416">
        <f t="shared" ca="1" si="386"/>
        <v>0</v>
      </c>
      <c r="X244" s="1416">
        <f t="shared" ca="1" si="386"/>
        <v>0</v>
      </c>
      <c r="Y244" s="256" cm="1">
        <f t="array" aca="1" ref="Y244" ca="1">_xlfn.SWITCH(T244,Y$3,V244+Z244,W$3,W244,0)</f>
        <v>0</v>
      </c>
      <c r="Z244" s="1410" cm="1">
        <f t="array" aca="1" ref="Z244" ca="1">IFERROR(INDEX('Eléments de constr. inté. et ex'!L:L, $F243)*$K244/$M244,0)/$I$1*(1-0.8*N244)</f>
        <v>0</v>
      </c>
      <c r="AA244" s="1460">
        <f t="shared" ca="1" si="387"/>
        <v>0</v>
      </c>
      <c r="AB244" s="1460"/>
    </row>
    <row r="245" spans="2:28" ht="15.75" outlineLevel="1">
      <c r="B245" s="1871"/>
      <c r="C245" s="1875"/>
      <c r="D245" s="163"/>
      <c r="E245" s="163"/>
      <c r="F245" s="163">
        <f t="shared" ca="1" si="383"/>
        <v>2</v>
      </c>
      <c r="G245" s="163" cm="1">
        <f t="array" aca="1" ref="G245" ca="1">INDEX( 'Eléments de constr. inté. et ex'!C:C, $F244)</f>
        <v>0</v>
      </c>
      <c r="H245" s="163" cm="1">
        <f t="array" aca="1" ref="H245" ca="1">INDEX( 'Eléments de constr. inté. et ex'!D:D, $F244)</f>
        <v>0</v>
      </c>
      <c r="I245" s="163" cm="1">
        <f t="array" aca="1" ref="I245" ca="1">INDEX( 'Eléments de constr. inté. et ex'!G:G, $F244)</f>
        <v>0</v>
      </c>
      <c r="J245" s="163">
        <f ca="1">_xlfn.XLOOKUP($I245,'Baumaterialien Matériaux'!A:A,'Baumaterialien Matériaux'!G:G,0,0)</f>
        <v>0</v>
      </c>
      <c r="K245" s="262">
        <f t="shared" ca="1" si="388"/>
        <v>0</v>
      </c>
      <c r="L245" s="163" cm="1">
        <f t="array" aca="1" ref="L245" ca="1">INDEX( 'Eléments de constr. inté. et ex'!J:J, $F244)</f>
        <v>0</v>
      </c>
      <c r="M245" s="1522" cm="1">
        <f t="array" aca="1" ref="M245" ca="1">INDEX( 'Eléments de constr. inté. et ex'!H:H, $F244)</f>
        <v>0</v>
      </c>
      <c r="N245" s="1627">
        <f>'Outil détaillé'!E$55</f>
        <v>0</v>
      </c>
      <c r="O245" s="1502" cm="1">
        <f t="array" aca="1" ref="O245" ca="1">IFERROR(INDEX('Eléments de constr. inté. et ex'!M:M, $F244)*$K245/$M245,0)/$I$1*(1-0.8*N245)</f>
        <v>0</v>
      </c>
      <c r="P245" s="1416">
        <f t="shared" ca="1" si="384"/>
        <v>0</v>
      </c>
      <c r="Q245" s="1416">
        <f t="shared" ca="1" si="384"/>
        <v>0</v>
      </c>
      <c r="R245" s="256" cm="1">
        <f t="array" aca="1" ref="R245" ca="1">_xlfn.SWITCH(L245,R$3,O245+S245,P$3,P245,0)</f>
        <v>0</v>
      </c>
      <c r="S245" s="1410" cm="1">
        <f t="array" aca="1" ref="S245" ca="1">IFERROR(INDEX('Eléments de constr. inté. et ex'!N:N, $F244)*$K245/$M245,0)/$I$1*(1-0.8*N245)</f>
        <v>0</v>
      </c>
      <c r="T245" s="1411">
        <f t="shared" ca="1" si="385"/>
        <v>0</v>
      </c>
      <c r="U245" s="1530" cm="1">
        <f t="array" aca="1" ref="U245" ca="1">IFERROR(INDEX('Eléments de constr. inté. et ex'!O:O, $F244)*$K245/$M245,0)/$I$1*(1-0.8*N245)</f>
        <v>0</v>
      </c>
      <c r="V245" s="1502" cm="1">
        <f t="array" aca="1" ref="V245" ca="1">IFERROR(INDEX('Eléments de constr. inté. et ex'!K:K, $F244)*$K245/$M245,0)/$I$1*(1-0.8*N245)</f>
        <v>0</v>
      </c>
      <c r="W245" s="1416">
        <f t="shared" ca="1" si="386"/>
        <v>0</v>
      </c>
      <c r="X245" s="1416">
        <f t="shared" ca="1" si="386"/>
        <v>0</v>
      </c>
      <c r="Y245" s="256" cm="1">
        <f t="array" aca="1" ref="Y245" ca="1">_xlfn.SWITCH(T245,Y$3,V245+Z245,W$3,W245,0)</f>
        <v>0</v>
      </c>
      <c r="Z245" s="1410" cm="1">
        <f t="array" aca="1" ref="Z245" ca="1">IFERROR(INDEX('Eléments de constr. inté. et ex'!L:L, $F244)*$K245/$M245,0)/$I$1*(1-0.8*N245)</f>
        <v>0</v>
      </c>
      <c r="AA245" s="1460">
        <f t="shared" ca="1" si="387"/>
        <v>0</v>
      </c>
      <c r="AB245" s="1460"/>
    </row>
    <row r="246" spans="2:28" ht="15.75">
      <c r="B246" s="1871"/>
      <c r="C246" s="1873" t="str">
        <f>'Outil détaillé'!C56</f>
        <v>G04</v>
      </c>
      <c r="D246" s="162" t="str">
        <f>'Outil détaillé'!D56</f>
        <v>Revetements plafonds</v>
      </c>
      <c r="E246" s="162"/>
      <c r="F246" s="162">
        <f>MATCH(D246, 'Eléments de constr. inté. et ex'!B:B,0)</f>
        <v>165</v>
      </c>
      <c r="G246" s="162"/>
      <c r="H246" s="162"/>
      <c r="I246" s="162"/>
      <c r="J246" s="162"/>
      <c r="K246" s="265"/>
      <c r="L246" s="264"/>
      <c r="M246" s="1523"/>
      <c r="N246" s="1628"/>
      <c r="O246" s="1503">
        <f t="shared" ref="O246" ca="1" si="389">O247+O252</f>
        <v>4.6392509999999998</v>
      </c>
      <c r="P246" s="1504">
        <f t="shared" ref="P246:V246" ca="1" si="390">P247+P252</f>
        <v>0</v>
      </c>
      <c r="Q246" s="1504">
        <f t="shared" ca="1" si="390"/>
        <v>5.0409185000000001</v>
      </c>
      <c r="R246" s="1504">
        <f t="shared" ca="1" si="390"/>
        <v>0</v>
      </c>
      <c r="S246" s="1504">
        <f t="shared" ca="1" si="390"/>
        <v>0.40166750000000001</v>
      </c>
      <c r="T246" s="1504">
        <f t="shared" ca="1" si="390"/>
        <v>10.081837</v>
      </c>
      <c r="U246" s="1505">
        <f t="shared" ca="1" si="390"/>
        <v>3.6390566666666659</v>
      </c>
      <c r="V246" s="1503">
        <f t="shared" ca="1" si="390"/>
        <v>21.731189999999998</v>
      </c>
      <c r="W246" s="1504">
        <f t="shared" ref="W246:Z246" ca="1" si="391">W247+W252</f>
        <v>0</v>
      </c>
      <c r="X246" s="1504">
        <f t="shared" ca="1" si="391"/>
        <v>23.040227000000002</v>
      </c>
      <c r="Y246" s="1504">
        <f t="shared" ca="1" si="391"/>
        <v>0</v>
      </c>
      <c r="Z246" s="1504">
        <f t="shared" ca="1" si="391"/>
        <v>1.3090369999999998</v>
      </c>
      <c r="AA246" s="1505">
        <f t="shared" ref="AA246" ca="1" si="392">AA247+AA252</f>
        <v>46.080454000000003</v>
      </c>
      <c r="AB246" s="1505"/>
    </row>
    <row r="247" spans="2:28" ht="15.75">
      <c r="B247" s="1871"/>
      <c r="C247" s="1874"/>
      <c r="D247" s="166" t="str">
        <f>'Outil détaillé'!D57</f>
        <v>Plafonds dernier étage</v>
      </c>
      <c r="E247" s="164" t="str">
        <f>'Outil détaillé'!F57</f>
        <v>Enduit en plâtre et chaux, avec sous construction</v>
      </c>
      <c r="F247" s="801">
        <f ca="1">MATCH(E247, INDIRECT("'Eléments de constr. inté. et ex'!A"&amp;F246+1&amp;":A500"),0)+F246</f>
        <v>171</v>
      </c>
      <c r="G247" s="164"/>
      <c r="H247" s="164"/>
      <c r="I247" s="164"/>
      <c r="J247" s="164" t="s">
        <v>87</v>
      </c>
      <c r="K247" s="270">
        <f>'Outil détaillé'!K57</f>
        <v>80</v>
      </c>
      <c r="L247" s="271"/>
      <c r="M247" s="1467"/>
      <c r="N247" s="1623"/>
      <c r="O247" s="1488">
        <f t="shared" ref="O247" ca="1" si="393">SUM(O248:O251)</f>
        <v>2.3196254999999999</v>
      </c>
      <c r="P247" s="1489">
        <f t="shared" ref="P247:U247" ca="1" si="394">SUM(P248:P251)</f>
        <v>0</v>
      </c>
      <c r="Q247" s="1489">
        <f t="shared" ca="1" si="394"/>
        <v>2.52045925</v>
      </c>
      <c r="R247" s="1489">
        <f t="shared" ca="1" si="394"/>
        <v>0</v>
      </c>
      <c r="S247" s="1489">
        <f t="shared" ca="1" si="394"/>
        <v>0.20083375000000001</v>
      </c>
      <c r="T247" s="1489">
        <f t="shared" ca="1" si="394"/>
        <v>5.0409185000000001</v>
      </c>
      <c r="U247" s="1490">
        <f t="shared" ca="1" si="394"/>
        <v>1.819528333333333</v>
      </c>
      <c r="V247" s="1488">
        <f t="shared" ref="V247" ca="1" si="395">SUM(V248:V251)</f>
        <v>10.865594999999999</v>
      </c>
      <c r="W247" s="1489">
        <f t="shared" ref="W247:Z247" ca="1" si="396">SUM(W248:W251)</f>
        <v>0</v>
      </c>
      <c r="X247" s="1489">
        <f t="shared" ca="1" si="396"/>
        <v>11.520113500000001</v>
      </c>
      <c r="Y247" s="1489">
        <f t="shared" ca="1" si="396"/>
        <v>0</v>
      </c>
      <c r="Z247" s="1489">
        <f t="shared" ca="1" si="396"/>
        <v>0.65451849999999989</v>
      </c>
      <c r="AA247" s="1490">
        <f t="shared" ref="AA247" ca="1" si="397">SUM(AA248:AA251)</f>
        <v>23.040227000000002</v>
      </c>
      <c r="AB247" s="1490"/>
    </row>
    <row r="248" spans="2:28" ht="15.75" outlineLevel="1">
      <c r="B248" s="1871"/>
      <c r="C248" s="1874"/>
      <c r="D248" s="163"/>
      <c r="E248" s="163"/>
      <c r="F248" s="163">
        <f t="shared" ref="F248" ca="1" si="398">IF(I248=0,2,F247+1)</f>
        <v>172</v>
      </c>
      <c r="G248" s="163" t="str" cm="1">
        <f t="array" aca="1" ref="G248" ca="1">INDEX( 'Eléments de constr. inté. et ex'!C:C, $F247)</f>
        <v>Nadelschnittholz [kg]</v>
      </c>
      <c r="H248" s="163" t="str" cm="1">
        <f t="array" aca="1" ref="H248" ca="1">INDEX( 'Eléments de constr. inté. et ex'!D:D, $F247)</f>
        <v>Bois massif épicéa / sapin / mélèze, séché à l'air, brut</v>
      </c>
      <c r="I248" s="163" t="str" cm="1">
        <f t="array" aca="1" ref="I248" ca="1">INDEX( 'Eléments de constr. inté. et ex'!G:G, $F247)</f>
        <v>07.009</v>
      </c>
      <c r="J248" s="163" t="str">
        <f ca="1">_xlfn.XLOOKUP($I248,'Baumaterialien Matériaux'!A:A,'Baumaterialien Matériaux'!G:G,0,0)</f>
        <v>kg</v>
      </c>
      <c r="K248" s="262">
        <f ca="1">M248*$K$247</f>
        <v>155.19999999999999</v>
      </c>
      <c r="L248" s="163" cm="1">
        <f t="array" aca="1" ref="L248" ca="1">INDEX( 'Eléments de constr. inté. et ex'!J:J, $F247)</f>
        <v>30</v>
      </c>
      <c r="M248" s="1522" cm="1">
        <f t="array" aca="1" ref="M248" ca="1">INDEX( 'Eléments de constr. inté. et ex'!H:H, $F247)</f>
        <v>1.94</v>
      </c>
      <c r="N248" s="1627">
        <f>'Outil détaillé'!E$57</f>
        <v>0</v>
      </c>
      <c r="O248" s="1502" cm="1">
        <f t="array" aca="1" ref="O248" ca="1">IFERROR(INDEX('Eléments de constr. inté. et ex'!M:M, $F247)*$K248/$M248,0)/$I$1*(1-0.8*N248)</f>
        <v>8.7687999999999988E-2</v>
      </c>
      <c r="P248" s="1416">
        <f t="shared" ref="P248:Q251" ca="1" si="399">IF($L248=P$3,$O248+$S248,0)</f>
        <v>0</v>
      </c>
      <c r="Q248" s="1416">
        <f t="shared" ca="1" si="399"/>
        <v>0.12551799999999996</v>
      </c>
      <c r="R248" s="256" cm="1">
        <f t="array" aca="1" ref="R248" ca="1">_xlfn.SWITCH(L248,R$3,O248+S248,P$3,P248,0)</f>
        <v>0</v>
      </c>
      <c r="S248" s="1410" cm="1">
        <f t="array" aca="1" ref="S248" ca="1">IFERROR(INDEX('Eléments de constr. inté. et ex'!N:N, $F247)*$K248/$M248,0)/$I$1*(1-0.8*N248)</f>
        <v>3.7829999999999989E-2</v>
      </c>
      <c r="T248" s="1411">
        <f t="shared" ref="T248:T251" ca="1" si="400">SUM(O248:S248)</f>
        <v>0.25103599999999993</v>
      </c>
      <c r="U248" s="1530" cm="1">
        <f t="array" aca="1" ref="U248" ca="1">IFERROR(INDEX('Eléments de constr. inté. et ex'!O:O, $F247)*$K248/$M248,0)/$I$1*(1-0.8*N248)</f>
        <v>1.468903333333333</v>
      </c>
      <c r="V248" s="1502" cm="1">
        <f t="array" aca="1" ref="V248" ca="1">IFERROR(INDEX('Eléments de constr. inté. et ex'!K:K, $F247)*$K248/$M248,0)/$I$1*(1-0.8*N248)</f>
        <v>0.40836999999999996</v>
      </c>
      <c r="W248" s="1416">
        <f t="shared" ref="W248:X251" ca="1" si="401">IF($L248=W$3,$V248+$Z248,0)</f>
        <v>0</v>
      </c>
      <c r="X248" s="1416">
        <f t="shared" ca="1" si="401"/>
        <v>0.49450599999999995</v>
      </c>
      <c r="Y248" s="256" cm="1">
        <f t="array" aca="1" ref="Y248" ca="1">_xlfn.SWITCH(T248,Y$3,V248+Z248,W$3,W248,0)</f>
        <v>0</v>
      </c>
      <c r="Z248" s="1410" cm="1">
        <f t="array" aca="1" ref="Z248" ca="1">IFERROR(INDEX('Eléments de constr. inté. et ex'!L:L, $F247)*$K248/$M248,0)/$I$1*(1-0.8*N248)</f>
        <v>8.6136000000000004E-2</v>
      </c>
      <c r="AA248" s="1460">
        <f t="shared" ref="AA248:AA251" ca="1" si="402">SUM(V248:Z248)</f>
        <v>0.98901199999999989</v>
      </c>
      <c r="AB248" s="1460"/>
    </row>
    <row r="249" spans="2:28" ht="15.75" outlineLevel="1">
      <c r="B249" s="1871"/>
      <c r="C249" s="1874"/>
      <c r="D249" s="163"/>
      <c r="E249" s="163"/>
      <c r="F249" s="163">
        <f t="shared" ref="F249:F250" ca="1" si="403">IF(I249=0,2,F248+1)</f>
        <v>173</v>
      </c>
      <c r="G249" s="163" t="str" cm="1">
        <f t="array" aca="1" ref="G249" ca="1">INDEX( 'Eléments de constr. inté. et ex'!C:C, $F248)</f>
        <v>Gipskartonplatte [kg]</v>
      </c>
      <c r="H249" s="163" t="str" cm="1">
        <f t="array" aca="1" ref="H249" ca="1">INDEX( 'Eléments de constr. inté. et ex'!D:D, $F248)</f>
        <v>Plaque de plâtre cartonnée</v>
      </c>
      <c r="I249" s="163" t="str" cm="1">
        <f t="array" aca="1" ref="I249" ca="1">INDEX( 'Eléments de constr. inté. et ex'!G:G, $F248)</f>
        <v>03.008</v>
      </c>
      <c r="J249" s="163" t="str">
        <f ca="1">_xlfn.XLOOKUP($I249,'Baumaterialien Matériaux'!A:A,'Baumaterialien Matériaux'!G:G,0,0)</f>
        <v>kg</v>
      </c>
      <c r="K249" s="262">
        <f t="shared" ref="K249:K251" ca="1" si="404">M249*$K$247</f>
        <v>850</v>
      </c>
      <c r="L249" s="163" cm="1">
        <f t="array" aca="1" ref="L249" ca="1">INDEX( 'Eléments de constr. inté. et ex'!J:J, $F248)</f>
        <v>30</v>
      </c>
      <c r="M249" s="1522" cm="1">
        <f t="array" aca="1" ref="M249" ca="1">INDEX( 'Eléments de constr. inté. et ex'!H:H, $F248)</f>
        <v>10.625</v>
      </c>
      <c r="N249" s="1627">
        <f>'Outil détaillé'!E$57</f>
        <v>0</v>
      </c>
      <c r="O249" s="1502" cm="1">
        <f t="array" aca="1" ref="O249" ca="1">IFERROR(INDEX('Eléments de constr. inté. et ex'!M:M, $F248)*$K249/$M249,0)/$I$1*(1-0.8*N249)</f>
        <v>1.5034374999999998</v>
      </c>
      <c r="P249" s="1416">
        <f t="shared" ca="1" si="399"/>
        <v>0</v>
      </c>
      <c r="Q249" s="1416">
        <f t="shared" ca="1" si="399"/>
        <v>1.6027812499999998</v>
      </c>
      <c r="R249" s="256" cm="1">
        <f t="array" aca="1" ref="R249" ca="1">_xlfn.SWITCH(L249,R$3,O249+S249,P$3,P249,0)</f>
        <v>0</v>
      </c>
      <c r="S249" s="1410" cm="1">
        <f t="array" aca="1" ref="S249" ca="1">IFERROR(INDEX('Eléments de constr. inté. et ex'!N:N, $F248)*$K249/$M249,0)/$I$1*(1-0.8*N249)</f>
        <v>9.9343750000000008E-2</v>
      </c>
      <c r="T249" s="1411">
        <f t="shared" ca="1" si="400"/>
        <v>3.2055624999999996</v>
      </c>
      <c r="U249" s="1530" cm="1">
        <f t="array" aca="1" ref="U249" ca="1">IFERROR(INDEX('Eléments de constr. inté. et ex'!O:O, $F248)*$K249/$M249,0)/$I$1*(1-0.8*N249)</f>
        <v>0.35062499999999991</v>
      </c>
      <c r="V249" s="1502" cm="1">
        <f t="array" aca="1" ref="V249" ca="1">IFERROR(INDEX('Eléments de constr. inté. et ex'!K:K, $F248)*$K249/$M249,0)/$I$1*(1-0.8*N249)</f>
        <v>6.640625</v>
      </c>
      <c r="W249" s="1416">
        <f t="shared" ca="1" si="401"/>
        <v>0</v>
      </c>
      <c r="X249" s="1416">
        <f t="shared" ca="1" si="401"/>
        <v>7.0539375</v>
      </c>
      <c r="Y249" s="256" cm="1">
        <f t="array" aca="1" ref="Y249" ca="1">_xlfn.SWITCH(T249,Y$3,V249+Z249,W$3,W249,0)</f>
        <v>0</v>
      </c>
      <c r="Z249" s="1410" cm="1">
        <f t="array" aca="1" ref="Z249" ca="1">IFERROR(INDEX('Eléments de constr. inté. et ex'!L:L, $F248)*$K249/$M249,0)/$I$1*(1-0.8*N249)</f>
        <v>0.41331249999999997</v>
      </c>
      <c r="AA249" s="1460">
        <f t="shared" ca="1" si="402"/>
        <v>14.107875</v>
      </c>
      <c r="AB249" s="1460"/>
    </row>
    <row r="250" spans="2:28" ht="15.75" outlineLevel="1">
      <c r="B250" s="1871"/>
      <c r="C250" s="1874"/>
      <c r="D250" s="163"/>
      <c r="E250" s="163"/>
      <c r="F250" s="163">
        <f t="shared" ca="1" si="403"/>
        <v>174</v>
      </c>
      <c r="G250" s="163" t="str" cm="1">
        <f t="array" aca="1" ref="G250" ca="1">INDEX( 'Eléments de constr. inté. et ex'!C:C, $F249)</f>
        <v>Spachtel [kg]</v>
      </c>
      <c r="H250" s="163" t="str" cm="1">
        <f t="array" aca="1" ref="H250" ca="1">INDEX( 'Eléments de constr. inté. et ex'!D:D, $F249)</f>
        <v>Enduit en plâtre et chaux</v>
      </c>
      <c r="I250" s="163" t="str" cm="1">
        <f t="array" aca="1" ref="I250" ca="1">INDEX( 'Eléments de constr. inté. et ex'!G:G, $F249)</f>
        <v>04.017</v>
      </c>
      <c r="J250" s="163" t="str">
        <f ca="1">_xlfn.XLOOKUP($I250,'Baumaterialien Matériaux'!A:A,'Baumaterialien Matériaux'!G:G,0,0)</f>
        <v>kg</v>
      </c>
      <c r="K250" s="262">
        <f t="shared" ca="1" si="404"/>
        <v>448.00000000000006</v>
      </c>
      <c r="L250" s="163" cm="1">
        <f t="array" aca="1" ref="L250" ca="1">INDEX( 'Eléments de constr. inté. et ex'!J:J, $F249)</f>
        <v>30</v>
      </c>
      <c r="M250" s="1522" cm="1">
        <f t="array" aca="1" ref="M250" ca="1">INDEX( 'Eléments de constr. inté. et ex'!H:H, $F249)</f>
        <v>5.6000000000000005</v>
      </c>
      <c r="N250" s="1627">
        <f>'Outil détaillé'!E$57</f>
        <v>0</v>
      </c>
      <c r="O250" s="1502" cm="1">
        <f t="array" aca="1" ref="O250" ca="1">IFERROR(INDEX('Eléments de constr. inté. et ex'!M:M, $F249)*$K250/$M250,0)/$I$1*(1-0.8*N250)</f>
        <v>0.40600000000000003</v>
      </c>
      <c r="P250" s="1416">
        <f t="shared" ca="1" si="399"/>
        <v>0</v>
      </c>
      <c r="Q250" s="1416">
        <f t="shared" ca="1" si="399"/>
        <v>0.44156000000000001</v>
      </c>
      <c r="R250" s="256" cm="1">
        <f t="array" aca="1" ref="R250" ca="1">_xlfn.SWITCH(L250,R$3,O250+S250,P$3,P250,0)</f>
        <v>0</v>
      </c>
      <c r="S250" s="1410" cm="1">
        <f t="array" aca="1" ref="S250" ca="1">IFERROR(INDEX('Eléments de constr. inté. et ex'!N:N, $F249)*$K250/$M250,0)/$I$1*(1-0.8*N250)</f>
        <v>3.5560000000000001E-2</v>
      </c>
      <c r="T250" s="1411">
        <f t="shared" ca="1" si="400"/>
        <v>0.88312000000000013</v>
      </c>
      <c r="U250" s="1530" cm="1">
        <f t="array" aca="1" ref="U250" ca="1">IFERROR(INDEX('Eléments de constr. inté. et ex'!O:O, $F249)*$K250/$M250,0)/$I$1*(1-0.8*N250)</f>
        <v>0</v>
      </c>
      <c r="V250" s="1502" cm="1">
        <f t="array" aca="1" ref="V250" ca="1">IFERROR(INDEX('Eléments de constr. inté. et ex'!K:K, $F249)*$K250/$M250,0)/$I$1*(1-0.8*N250)</f>
        <v>1.7416000000000005</v>
      </c>
      <c r="W250" s="1416">
        <f t="shared" ca="1" si="401"/>
        <v>0</v>
      </c>
      <c r="X250" s="1416">
        <f t="shared" ca="1" si="401"/>
        <v>1.8883200000000004</v>
      </c>
      <c r="Y250" s="256" cm="1">
        <f t="array" aca="1" ref="Y250" ca="1">_xlfn.SWITCH(T250,Y$3,V250+Z250,W$3,W250,0)</f>
        <v>0</v>
      </c>
      <c r="Z250" s="1410" cm="1">
        <f t="array" aca="1" ref="Z250" ca="1">IFERROR(INDEX('Eléments de constr. inté. et ex'!L:L, $F249)*$K250/$M250,0)/$I$1*(1-0.8*N250)</f>
        <v>0.14672000000000002</v>
      </c>
      <c r="AA250" s="1460">
        <f t="shared" ca="1" si="402"/>
        <v>3.7766400000000013</v>
      </c>
      <c r="AB250" s="1460"/>
    </row>
    <row r="251" spans="2:28" ht="15.75" outlineLevel="1">
      <c r="B251" s="1871"/>
      <c r="C251" s="1874"/>
      <c r="D251" s="163"/>
      <c r="E251" s="163"/>
      <c r="F251" s="163">
        <f t="shared" ref="F251" ca="1" si="405">IF(I251=0,2,F250+1)</f>
        <v>175</v>
      </c>
      <c r="G251" s="163" t="str" cm="1">
        <f t="array" aca="1" ref="G251" ca="1">INDEX( 'Eléments de constr. inté. et ex'!C:C, $F250)</f>
        <v>Wanddispersion [m2]</v>
      </c>
      <c r="H251" s="163" t="str" cm="1">
        <f t="array" aca="1" ref="H251" ca="1">INDEX( 'Eléments de constr. inté. et ex'!D:D, $F250)</f>
        <v>Enduit, diluable à l'eau, 2 couches</v>
      </c>
      <c r="I251" s="163" t="str" cm="1">
        <f t="array" aca="1" ref="I251" ca="1">INDEX( 'Eléments de constr. inté. et ex'!G:G, $F250)</f>
        <v>14.001</v>
      </c>
      <c r="J251" s="163" t="str">
        <f ca="1">_xlfn.XLOOKUP($I251,'Baumaterialien Matériaux'!A:A,'Baumaterialien Matériaux'!G:G,0,0)</f>
        <v>m2</v>
      </c>
      <c r="K251" s="262">
        <f t="shared" ca="1" si="404"/>
        <v>80</v>
      </c>
      <c r="L251" s="163" cm="1">
        <f t="array" aca="1" ref="L251" ca="1">INDEX( 'Eléments de constr. inté. et ex'!J:J, $F250)</f>
        <v>30</v>
      </c>
      <c r="M251" s="1522" cm="1">
        <f t="array" aca="1" ref="M251" ca="1">INDEX( 'Eléments de constr. inté. et ex'!H:H, $F250)</f>
        <v>1</v>
      </c>
      <c r="N251" s="1627">
        <f>'Outil détaillé'!E$57</f>
        <v>0</v>
      </c>
      <c r="O251" s="1502" cm="1">
        <f t="array" aca="1" ref="O251" ca="1">IFERROR(INDEX('Eléments de constr. inté. et ex'!M:M, $F250)*$K251/$M251,0)/$I$1*(1-0.8*N251)</f>
        <v>0.32250000000000001</v>
      </c>
      <c r="P251" s="1416">
        <f t="shared" ca="1" si="399"/>
        <v>0</v>
      </c>
      <c r="Q251" s="1416">
        <f t="shared" ca="1" si="399"/>
        <v>0.35060000000000002</v>
      </c>
      <c r="R251" s="256" cm="1">
        <f t="array" aca="1" ref="R251" ca="1">_xlfn.SWITCH(L251,R$3,O251+S251,P$3,P251,0)</f>
        <v>0</v>
      </c>
      <c r="S251" s="1410" cm="1">
        <f t="array" aca="1" ref="S251" ca="1">IFERROR(INDEX('Eléments de constr. inté. et ex'!N:N, $F250)*$K251/$M251,0)/$I$1*(1-0.8*N251)</f>
        <v>2.8100000000000003E-2</v>
      </c>
      <c r="T251" s="1411">
        <f t="shared" ca="1" si="400"/>
        <v>0.70120000000000005</v>
      </c>
      <c r="U251" s="1530" cm="1">
        <f t="array" aca="1" ref="U251" ca="1">IFERROR(INDEX('Eléments de constr. inté. et ex'!O:O, $F250)*$K251/$M251,0)/$I$1*(1-0.8*N251)</f>
        <v>0</v>
      </c>
      <c r="V251" s="1502" cm="1">
        <f t="array" aca="1" ref="V251" ca="1">IFERROR(INDEX('Eléments de constr. inté. et ex'!K:K, $F250)*$K251/$M251,0)/$I$1*(1-0.8*N251)</f>
        <v>2.0750000000000002</v>
      </c>
      <c r="W251" s="1416">
        <f t="shared" ca="1" si="401"/>
        <v>0</v>
      </c>
      <c r="X251" s="1416">
        <f t="shared" ca="1" si="401"/>
        <v>2.0833500000000003</v>
      </c>
      <c r="Y251" s="256" cm="1">
        <f t="array" aca="1" ref="Y251" ca="1">_xlfn.SWITCH(T251,Y$3,V251+Z251,W$3,W251,0)</f>
        <v>0</v>
      </c>
      <c r="Z251" s="1410" cm="1">
        <f t="array" aca="1" ref="Z251" ca="1">IFERROR(INDEX('Eléments de constr. inté. et ex'!L:L, $F250)*$K251/$M251,0)/$I$1*(1-0.8*N251)</f>
        <v>8.3499999999999998E-3</v>
      </c>
      <c r="AA251" s="1460">
        <f t="shared" ca="1" si="402"/>
        <v>4.1667000000000005</v>
      </c>
      <c r="AB251" s="1460"/>
    </row>
    <row r="252" spans="2:28" ht="15.75">
      <c r="B252" s="1871"/>
      <c r="C252" s="1874"/>
      <c r="D252" s="166" t="str">
        <f>'Outil détaillé'!D58</f>
        <v>Plafonds inter-étage</v>
      </c>
      <c r="E252" s="164" t="str">
        <f>'Outil détaillé'!F58</f>
        <v>Enduit en plâtre et chaux, avec sous construction</v>
      </c>
      <c r="F252" s="801">
        <f ca="1">MATCH(E252, INDIRECT("'Eléments de constr. inté. et ex'!A"&amp;F246+1&amp;":A500"),0)+F246</f>
        <v>171</v>
      </c>
      <c r="G252" s="164"/>
      <c r="H252" s="164"/>
      <c r="I252" s="164"/>
      <c r="J252" s="164" t="s">
        <v>87</v>
      </c>
      <c r="K252" s="270">
        <f>'Outil détaillé'!K58</f>
        <v>80</v>
      </c>
      <c r="L252" s="271"/>
      <c r="M252" s="1467"/>
      <c r="N252" s="1623"/>
      <c r="O252" s="1488">
        <f t="shared" ref="O252" ca="1" si="406">SUM(O253:O256)</f>
        <v>2.3196254999999999</v>
      </c>
      <c r="P252" s="1489">
        <f t="shared" ref="P252:U252" ca="1" si="407">SUM(P253:P256)</f>
        <v>0</v>
      </c>
      <c r="Q252" s="1489">
        <f t="shared" ca="1" si="407"/>
        <v>2.52045925</v>
      </c>
      <c r="R252" s="1489">
        <f t="shared" ca="1" si="407"/>
        <v>0</v>
      </c>
      <c r="S252" s="1489">
        <f t="shared" ca="1" si="407"/>
        <v>0.20083375000000001</v>
      </c>
      <c r="T252" s="1489">
        <f t="shared" ca="1" si="407"/>
        <v>5.0409185000000001</v>
      </c>
      <c r="U252" s="1490">
        <f t="shared" ca="1" si="407"/>
        <v>1.819528333333333</v>
      </c>
      <c r="V252" s="1488">
        <f t="shared" ref="V252" ca="1" si="408">SUM(V253:V256)</f>
        <v>10.865594999999999</v>
      </c>
      <c r="W252" s="1489">
        <f t="shared" ref="W252:Z252" ca="1" si="409">SUM(W253:W256)</f>
        <v>0</v>
      </c>
      <c r="X252" s="1489">
        <f t="shared" ca="1" si="409"/>
        <v>11.520113500000001</v>
      </c>
      <c r="Y252" s="1489">
        <f t="shared" ca="1" si="409"/>
        <v>0</v>
      </c>
      <c r="Z252" s="1489">
        <f t="shared" ca="1" si="409"/>
        <v>0.65451849999999989</v>
      </c>
      <c r="AA252" s="1490">
        <f t="shared" ref="AA252" ca="1" si="410">SUM(AA253:AA256)</f>
        <v>23.040227000000002</v>
      </c>
      <c r="AB252" s="1490"/>
    </row>
    <row r="253" spans="2:28" ht="15.75" outlineLevel="1">
      <c r="B253" s="1871"/>
      <c r="C253" s="1874"/>
      <c r="D253" s="163"/>
      <c r="E253" s="163"/>
      <c r="F253" s="163">
        <f t="shared" ref="F253:F256" ca="1" si="411">IF(I253=0,2,F252+1)</f>
        <v>172</v>
      </c>
      <c r="G253" s="163" t="str" cm="1">
        <f t="array" aca="1" ref="G253" ca="1">INDEX( 'Eléments de constr. inté. et ex'!C:C, $F252)</f>
        <v>Nadelschnittholz [kg]</v>
      </c>
      <c r="H253" s="163" t="str" cm="1">
        <f t="array" aca="1" ref="H253" ca="1">INDEX( 'Eléments de constr. inté. et ex'!D:D, $F252)</f>
        <v>Bois massif épicéa / sapin / mélèze, séché à l'air, brut</v>
      </c>
      <c r="I253" s="163" t="str" cm="1">
        <f t="array" aca="1" ref="I253" ca="1">INDEX( 'Eléments de constr. inté. et ex'!G:G, $F252)</f>
        <v>07.009</v>
      </c>
      <c r="J253" s="163" t="str">
        <f ca="1">_xlfn.XLOOKUP($I253,'Baumaterialien Matériaux'!A:A,'Baumaterialien Matériaux'!G:G,0,0)</f>
        <v>kg</v>
      </c>
      <c r="K253" s="262">
        <f ca="1">M253*$K$252</f>
        <v>155.19999999999999</v>
      </c>
      <c r="L253" s="163" cm="1">
        <f t="array" aca="1" ref="L253" ca="1">INDEX( 'Eléments de constr. inté. et ex'!J:J, $F252)</f>
        <v>30</v>
      </c>
      <c r="M253" s="1522" cm="1">
        <f t="array" aca="1" ref="M253" ca="1">INDEX( 'Eléments de constr. inté. et ex'!H:H, $F252)</f>
        <v>1.94</v>
      </c>
      <c r="N253" s="1627">
        <f>'Outil détaillé'!E$58</f>
        <v>0</v>
      </c>
      <c r="O253" s="1502" cm="1">
        <f t="array" aca="1" ref="O253" ca="1">IFERROR(INDEX('Eléments de constr. inté. et ex'!M:M, $F252)*$K253/$M253,0)/$I$1*(1-0.8*N253)</f>
        <v>8.7687999999999988E-2</v>
      </c>
      <c r="P253" s="1416">
        <f t="shared" ref="P253:Q256" ca="1" si="412">IF($L253=P$3,$O253+$S253,0)</f>
        <v>0</v>
      </c>
      <c r="Q253" s="1416">
        <f t="shared" ca="1" si="412"/>
        <v>0.12551799999999996</v>
      </c>
      <c r="R253" s="256" cm="1">
        <f t="array" aca="1" ref="R253" ca="1">_xlfn.SWITCH(L253,R$3,O253+S253,P$3,P253,0)</f>
        <v>0</v>
      </c>
      <c r="S253" s="1410" cm="1">
        <f t="array" aca="1" ref="S253" ca="1">IFERROR(INDEX('Eléments de constr. inté. et ex'!N:N, $F252)*$K253/$M253,0)/$I$1*(1-0.8*N253)</f>
        <v>3.7829999999999989E-2</v>
      </c>
      <c r="T253" s="1411">
        <f t="shared" ref="T253:T256" ca="1" si="413">SUM(O253:S253)</f>
        <v>0.25103599999999993</v>
      </c>
      <c r="U253" s="1530" cm="1">
        <f t="array" aca="1" ref="U253" ca="1">IFERROR(INDEX('Eléments de constr. inté. et ex'!O:O, $F252)*$K253/$M253,0)/$I$1*(1-0.8*N253)</f>
        <v>1.468903333333333</v>
      </c>
      <c r="V253" s="1502" cm="1">
        <f t="array" aca="1" ref="V253" ca="1">IFERROR(INDEX('Eléments de constr. inté. et ex'!K:K, $F252)*$K253/$M253,0)/$I$1*(1-0.8*N253)</f>
        <v>0.40836999999999996</v>
      </c>
      <c r="W253" s="1416">
        <f t="shared" ref="W253:X256" ca="1" si="414">IF($L253=W$3,$V253+$Z253,0)</f>
        <v>0</v>
      </c>
      <c r="X253" s="1416">
        <f t="shared" ca="1" si="414"/>
        <v>0.49450599999999995</v>
      </c>
      <c r="Y253" s="256" cm="1">
        <f t="array" aca="1" ref="Y253" ca="1">_xlfn.SWITCH(T253,Y$3,V253+Z253,W$3,W253,0)</f>
        <v>0</v>
      </c>
      <c r="Z253" s="1410" cm="1">
        <f t="array" aca="1" ref="Z253" ca="1">IFERROR(INDEX('Eléments de constr. inté. et ex'!L:L, $F252)*$K253/$M253,0)/$I$1*(1-0.8*N253)</f>
        <v>8.6136000000000004E-2</v>
      </c>
      <c r="AA253" s="1460">
        <f t="shared" ref="AA253:AA256" ca="1" si="415">SUM(V253:Z253)</f>
        <v>0.98901199999999989</v>
      </c>
      <c r="AB253" s="1460"/>
    </row>
    <row r="254" spans="2:28" ht="15.75" outlineLevel="1">
      <c r="B254" s="1871"/>
      <c r="C254" s="1874"/>
      <c r="D254" s="163"/>
      <c r="E254" s="163"/>
      <c r="F254" s="163">
        <f t="shared" ca="1" si="411"/>
        <v>173</v>
      </c>
      <c r="G254" s="163" t="str" cm="1">
        <f t="array" aca="1" ref="G254" ca="1">INDEX( 'Eléments de constr. inté. et ex'!C:C, $F253)</f>
        <v>Gipskartonplatte [kg]</v>
      </c>
      <c r="H254" s="163" t="str" cm="1">
        <f t="array" aca="1" ref="H254" ca="1">INDEX( 'Eléments de constr. inté. et ex'!D:D, $F253)</f>
        <v>Plaque de plâtre cartonnée</v>
      </c>
      <c r="I254" s="163" t="str" cm="1">
        <f t="array" aca="1" ref="I254" ca="1">INDEX( 'Eléments de constr. inté. et ex'!G:G, $F253)</f>
        <v>03.008</v>
      </c>
      <c r="J254" s="163" t="str">
        <f ca="1">_xlfn.XLOOKUP($I254,'Baumaterialien Matériaux'!A:A,'Baumaterialien Matériaux'!G:G,0,0)</f>
        <v>kg</v>
      </c>
      <c r="K254" s="262">
        <f t="shared" ref="K254:K256" ca="1" si="416">M254*$K$252</f>
        <v>850</v>
      </c>
      <c r="L254" s="163" cm="1">
        <f t="array" aca="1" ref="L254" ca="1">INDEX( 'Eléments de constr. inté. et ex'!J:J, $F253)</f>
        <v>30</v>
      </c>
      <c r="M254" s="1522" cm="1">
        <f t="array" aca="1" ref="M254" ca="1">INDEX( 'Eléments de constr. inté. et ex'!H:H, $F253)</f>
        <v>10.625</v>
      </c>
      <c r="N254" s="1627">
        <f>'Outil détaillé'!E$58</f>
        <v>0</v>
      </c>
      <c r="O254" s="1502" cm="1">
        <f t="array" aca="1" ref="O254" ca="1">IFERROR(INDEX('Eléments de constr. inté. et ex'!M:M, $F253)*$K254/$M254,0)/$I$1*(1-0.8*N254)</f>
        <v>1.5034374999999998</v>
      </c>
      <c r="P254" s="1416">
        <f t="shared" ca="1" si="412"/>
        <v>0</v>
      </c>
      <c r="Q254" s="1416">
        <f t="shared" ca="1" si="412"/>
        <v>1.6027812499999998</v>
      </c>
      <c r="R254" s="256" cm="1">
        <f t="array" aca="1" ref="R254" ca="1">_xlfn.SWITCH(L254,R$3,O254+S254,P$3,P254,0)</f>
        <v>0</v>
      </c>
      <c r="S254" s="1410" cm="1">
        <f t="array" aca="1" ref="S254" ca="1">IFERROR(INDEX('Eléments de constr. inté. et ex'!N:N, $F253)*$K254/$M254,0)/$I$1*(1-0.8*N254)</f>
        <v>9.9343750000000008E-2</v>
      </c>
      <c r="T254" s="1411">
        <f t="shared" ca="1" si="413"/>
        <v>3.2055624999999996</v>
      </c>
      <c r="U254" s="1530" cm="1">
        <f t="array" aca="1" ref="U254" ca="1">IFERROR(INDEX('Eléments de constr. inté. et ex'!O:O, $F253)*$K254/$M254,0)/$I$1*(1-0.8*N254)</f>
        <v>0.35062499999999991</v>
      </c>
      <c r="V254" s="1502" cm="1">
        <f t="array" aca="1" ref="V254" ca="1">IFERROR(INDEX('Eléments de constr. inté. et ex'!K:K, $F253)*$K254/$M254,0)/$I$1*(1-0.8*N254)</f>
        <v>6.640625</v>
      </c>
      <c r="W254" s="1416">
        <f t="shared" ca="1" si="414"/>
        <v>0</v>
      </c>
      <c r="X254" s="1416">
        <f t="shared" ca="1" si="414"/>
        <v>7.0539375</v>
      </c>
      <c r="Y254" s="256" cm="1">
        <f t="array" aca="1" ref="Y254" ca="1">_xlfn.SWITCH(T254,Y$3,V254+Z254,W$3,W254,0)</f>
        <v>0</v>
      </c>
      <c r="Z254" s="1410" cm="1">
        <f t="array" aca="1" ref="Z254" ca="1">IFERROR(INDEX('Eléments de constr. inté. et ex'!L:L, $F253)*$K254/$M254,0)/$I$1*(1-0.8*N254)</f>
        <v>0.41331249999999997</v>
      </c>
      <c r="AA254" s="1460">
        <f t="shared" ca="1" si="415"/>
        <v>14.107875</v>
      </c>
      <c r="AB254" s="1460"/>
    </row>
    <row r="255" spans="2:28" ht="15.75" outlineLevel="1">
      <c r="B255" s="1871"/>
      <c r="C255" s="1874"/>
      <c r="D255" s="163"/>
      <c r="E255" s="163"/>
      <c r="F255" s="163">
        <f t="shared" ca="1" si="411"/>
        <v>174</v>
      </c>
      <c r="G255" s="163" t="str" cm="1">
        <f t="array" aca="1" ref="G255" ca="1">INDEX( 'Eléments de constr. inté. et ex'!C:C, $F254)</f>
        <v>Spachtel [kg]</v>
      </c>
      <c r="H255" s="163" t="str" cm="1">
        <f t="array" aca="1" ref="H255" ca="1">INDEX( 'Eléments de constr. inté. et ex'!D:D, $F254)</f>
        <v>Enduit en plâtre et chaux</v>
      </c>
      <c r="I255" s="163" t="str" cm="1">
        <f t="array" aca="1" ref="I255" ca="1">INDEX( 'Eléments de constr. inté. et ex'!G:G, $F254)</f>
        <v>04.017</v>
      </c>
      <c r="J255" s="163" t="str">
        <f ca="1">_xlfn.XLOOKUP($I255,'Baumaterialien Matériaux'!A:A,'Baumaterialien Matériaux'!G:G,0,0)</f>
        <v>kg</v>
      </c>
      <c r="K255" s="262">
        <f t="shared" ca="1" si="416"/>
        <v>448.00000000000006</v>
      </c>
      <c r="L255" s="163" cm="1">
        <f t="array" aca="1" ref="L255" ca="1">INDEX( 'Eléments de constr. inté. et ex'!J:J, $F254)</f>
        <v>30</v>
      </c>
      <c r="M255" s="1522" cm="1">
        <f t="array" aca="1" ref="M255" ca="1">INDEX( 'Eléments de constr. inté. et ex'!H:H, $F254)</f>
        <v>5.6000000000000005</v>
      </c>
      <c r="N255" s="1627">
        <f>'Outil détaillé'!E$58</f>
        <v>0</v>
      </c>
      <c r="O255" s="1502" cm="1">
        <f t="array" aca="1" ref="O255" ca="1">IFERROR(INDEX('Eléments de constr. inté. et ex'!M:M, $F254)*$K255/$M255,0)/$I$1*(1-0.8*N255)</f>
        <v>0.40600000000000003</v>
      </c>
      <c r="P255" s="1416">
        <f t="shared" ca="1" si="412"/>
        <v>0</v>
      </c>
      <c r="Q255" s="1416">
        <f t="shared" ca="1" si="412"/>
        <v>0.44156000000000001</v>
      </c>
      <c r="R255" s="256" cm="1">
        <f t="array" aca="1" ref="R255" ca="1">_xlfn.SWITCH(L255,R$3,O255+S255,P$3,P255,0)</f>
        <v>0</v>
      </c>
      <c r="S255" s="1410" cm="1">
        <f t="array" aca="1" ref="S255" ca="1">IFERROR(INDEX('Eléments de constr. inté. et ex'!N:N, $F254)*$K255/$M255,0)/$I$1*(1-0.8*N255)</f>
        <v>3.5560000000000001E-2</v>
      </c>
      <c r="T255" s="1411">
        <f t="shared" ca="1" si="413"/>
        <v>0.88312000000000013</v>
      </c>
      <c r="U255" s="1530" cm="1">
        <f t="array" aca="1" ref="U255" ca="1">IFERROR(INDEX('Eléments de constr. inté. et ex'!O:O, $F254)*$K255/$M255,0)/$I$1*(1-0.8*N255)</f>
        <v>0</v>
      </c>
      <c r="V255" s="1502" cm="1">
        <f t="array" aca="1" ref="V255" ca="1">IFERROR(INDEX('Eléments de constr. inté. et ex'!K:K, $F254)*$K255/$M255,0)/$I$1*(1-0.8*N255)</f>
        <v>1.7416000000000005</v>
      </c>
      <c r="W255" s="1416">
        <f t="shared" ca="1" si="414"/>
        <v>0</v>
      </c>
      <c r="X255" s="1416">
        <f t="shared" ca="1" si="414"/>
        <v>1.8883200000000004</v>
      </c>
      <c r="Y255" s="256" cm="1">
        <f t="array" aca="1" ref="Y255" ca="1">_xlfn.SWITCH(T255,Y$3,V255+Z255,W$3,W255,0)</f>
        <v>0</v>
      </c>
      <c r="Z255" s="1410" cm="1">
        <f t="array" aca="1" ref="Z255" ca="1">IFERROR(INDEX('Eléments de constr. inté. et ex'!L:L, $F254)*$K255/$M255,0)/$I$1*(1-0.8*N255)</f>
        <v>0.14672000000000002</v>
      </c>
      <c r="AA255" s="1460">
        <f t="shared" ca="1" si="415"/>
        <v>3.7766400000000013</v>
      </c>
      <c r="AB255" s="1460"/>
    </row>
    <row r="256" spans="2:28" ht="16.5" outlineLevel="1" thickBot="1">
      <c r="B256" s="1872"/>
      <c r="C256" s="1884"/>
      <c r="D256" s="640"/>
      <c r="E256" s="640"/>
      <c r="F256" s="640">
        <f t="shared" ca="1" si="411"/>
        <v>175</v>
      </c>
      <c r="G256" s="640" t="str" cm="1">
        <f t="array" aca="1" ref="G256" ca="1">INDEX( 'Eléments de constr. inté. et ex'!C:C, $F255)</f>
        <v>Wanddispersion [m2]</v>
      </c>
      <c r="H256" s="640" t="str" cm="1">
        <f t="array" aca="1" ref="H256" ca="1">INDEX( 'Eléments de constr. inté. et ex'!D:D, $F255)</f>
        <v>Enduit, diluable à l'eau, 2 couches</v>
      </c>
      <c r="I256" s="640" t="str" cm="1">
        <f t="array" aca="1" ref="I256" ca="1">INDEX( 'Eléments de constr. inté. et ex'!G:G, $F255)</f>
        <v>14.001</v>
      </c>
      <c r="J256" s="640" t="str">
        <f ca="1">_xlfn.XLOOKUP($I256,'Baumaterialien Matériaux'!A:A,'Baumaterialien Matériaux'!G:G,0,0)</f>
        <v>m2</v>
      </c>
      <c r="K256" s="1049">
        <f t="shared" ca="1" si="416"/>
        <v>80</v>
      </c>
      <c r="L256" s="640" cm="1">
        <f t="array" aca="1" ref="L256" ca="1">INDEX( 'Eléments de constr. inté. et ex'!J:J, $F255)</f>
        <v>30</v>
      </c>
      <c r="M256" s="1524" cm="1">
        <f t="array" aca="1" ref="M256" ca="1">INDEX( 'Eléments de constr. inté. et ex'!H:H, $F255)</f>
        <v>1</v>
      </c>
      <c r="N256" s="1627">
        <f>'Outil détaillé'!E$58</f>
        <v>0</v>
      </c>
      <c r="O256" s="1502" cm="1">
        <f t="array" aca="1" ref="O256" ca="1">IFERROR(INDEX('Eléments de constr. inté. et ex'!M:M, $F255)*$K256/$M256,0)/$I$1*(1-0.8*N256)</f>
        <v>0.32250000000000001</v>
      </c>
      <c r="P256" s="1416">
        <f t="shared" ca="1" si="412"/>
        <v>0</v>
      </c>
      <c r="Q256" s="1416">
        <f t="shared" ca="1" si="412"/>
        <v>0.35060000000000002</v>
      </c>
      <c r="R256" s="256" cm="1">
        <f t="array" aca="1" ref="R256" ca="1">_xlfn.SWITCH(L256,R$3,O256+S256,P$3,P256,0)</f>
        <v>0</v>
      </c>
      <c r="S256" s="1410" cm="1">
        <f t="array" aca="1" ref="S256" ca="1">IFERROR(INDEX('Eléments de constr. inté. et ex'!N:N, $F255)*$K256/$M256,0)/$I$1*(1-0.8*N256)</f>
        <v>2.8100000000000003E-2</v>
      </c>
      <c r="T256" s="1411">
        <f t="shared" ca="1" si="413"/>
        <v>0.70120000000000005</v>
      </c>
      <c r="U256" s="1530" cm="1">
        <f t="array" aca="1" ref="U256" ca="1">IFERROR(INDEX('Eléments de constr. inté. et ex'!O:O, $F255)*$K256/$M256,0)/$I$1*(1-0.8*N256)</f>
        <v>0</v>
      </c>
      <c r="V256" s="1502" cm="1">
        <f t="array" aca="1" ref="V256" ca="1">IFERROR(INDEX('Eléments de constr. inté. et ex'!K:K, $F255)*$K256/$M256,0)/$I$1*(1-0.8*N256)</f>
        <v>2.0750000000000002</v>
      </c>
      <c r="W256" s="1416">
        <f t="shared" ca="1" si="414"/>
        <v>0</v>
      </c>
      <c r="X256" s="1416">
        <f t="shared" ca="1" si="414"/>
        <v>2.0833500000000003</v>
      </c>
      <c r="Y256" s="256" cm="1">
        <f t="array" aca="1" ref="Y256" ca="1">_xlfn.SWITCH(T256,Y$3,V256+Z256,W$3,W256,0)</f>
        <v>0</v>
      </c>
      <c r="Z256" s="1410" cm="1">
        <f t="array" aca="1" ref="Z256" ca="1">IFERROR(INDEX('Eléments de constr. inté. et ex'!L:L, $F255)*$K256/$M256,0)/$I$1*(1-0.8*N256)</f>
        <v>8.3499999999999998E-3</v>
      </c>
      <c r="AA256" s="1460">
        <f t="shared" ca="1" si="415"/>
        <v>4.1667000000000005</v>
      </c>
      <c r="AB256" s="1460"/>
    </row>
    <row r="257" spans="2:28" ht="15.75" customHeight="1">
      <c r="B257" s="1887" t="s">
        <v>40</v>
      </c>
      <c r="C257" s="1885" t="str">
        <f>'Outil détaillé'!C59</f>
        <v>D01</v>
      </c>
      <c r="D257" s="636" t="str">
        <f>'Outil détaillé'!D59</f>
        <v>Installations électriques</v>
      </c>
      <c r="E257" s="636"/>
      <c r="F257" s="636"/>
      <c r="G257" s="636"/>
      <c r="H257" s="636"/>
      <c r="I257" s="636"/>
      <c r="J257" s="636"/>
      <c r="K257" s="1046"/>
      <c r="L257" s="1040"/>
      <c r="M257" s="1518"/>
      <c r="N257" s="1622"/>
      <c r="O257" s="1486">
        <f t="shared" ref="O257" si="417">SUM(O258:O259)</f>
        <v>9.5399999999999991</v>
      </c>
      <c r="P257" s="1041">
        <f t="shared" ref="P257:R257" si="418">SUM(P258:P259)</f>
        <v>0</v>
      </c>
      <c r="Q257" s="1041">
        <f t="shared" si="418"/>
        <v>12.959999999999999</v>
      </c>
      <c r="R257" s="1041">
        <f t="shared" si="418"/>
        <v>0</v>
      </c>
      <c r="S257" s="1041">
        <f>SUM(S258:S259)</f>
        <v>3.42</v>
      </c>
      <c r="T257" s="1041">
        <f>SUM(T258:T259)</f>
        <v>25.92</v>
      </c>
      <c r="U257" s="1487"/>
      <c r="V257" s="1486">
        <f t="shared" ref="V257" si="419">SUM(V258:V259)</f>
        <v>53.2</v>
      </c>
      <c r="W257" s="1041">
        <f t="shared" ref="W257:Y257" si="420">SUM(W258:W259)</f>
        <v>0</v>
      </c>
      <c r="X257" s="1041">
        <f t="shared" si="420"/>
        <v>53.918000000000006</v>
      </c>
      <c r="Y257" s="1041">
        <f t="shared" si="420"/>
        <v>0</v>
      </c>
      <c r="Z257" s="1041">
        <f>SUM(Z258:Z259)</f>
        <v>0.71799999999999997</v>
      </c>
      <c r="AA257" s="1487">
        <f>SUM(AA258:AA259)</f>
        <v>107.83600000000001</v>
      </c>
      <c r="AB257" s="1487"/>
    </row>
    <row r="258" spans="2:28" ht="16.5" customHeight="1">
      <c r="B258" s="1888"/>
      <c r="C258" s="1886"/>
      <c r="D258" s="163" t="s">
        <v>471</v>
      </c>
      <c r="E258" s="164" t="str">
        <f>'Outil détaillé'!F60</f>
        <v>Installation électriques habitation</v>
      </c>
      <c r="F258" s="164">
        <f>MATCH(E258, Installations!A:A,0)</f>
        <v>3</v>
      </c>
      <c r="G258" s="665" t="str" cm="1">
        <f t="array" ref="G258">INDEX( Installations!B:B, $F258)</f>
        <v>Elektroanlage Wohnen</v>
      </c>
      <c r="H258" s="665" t="str" cm="1">
        <f t="array" ref="H258">INDEX( Installations!A:A, $F258)</f>
        <v>Installation électriques habitation</v>
      </c>
      <c r="I258" s="665" t="str" cm="1">
        <f t="array" ref="I258">INDEX( Installations!F:F, $F258)</f>
        <v>34.001</v>
      </c>
      <c r="J258" s="665" t="s">
        <v>87</v>
      </c>
      <c r="K258" s="669">
        <f>M258*'Outil détaillé'!K60</f>
        <v>160</v>
      </c>
      <c r="L258" s="665" cm="1">
        <f t="array" ref="L258">INDEX( Installations!I:I, $F258)</f>
        <v>30</v>
      </c>
      <c r="M258" s="1526" cm="1">
        <f t="array" ref="M258">INDEX( Installations!G:G, $F258)</f>
        <v>1</v>
      </c>
      <c r="N258" s="1630"/>
      <c r="O258" s="1510" cm="1">
        <f t="array" ref="O258">INDEX( Installations!L:L, $F258)/$I$1*(1-0.8*N258)*$K258</f>
        <v>9.5399999999999991</v>
      </c>
      <c r="P258" s="1455">
        <f>IF($L258=P$3,$O258+$S258,0)</f>
        <v>0</v>
      </c>
      <c r="Q258" s="1455">
        <f>IF($L258=Q$3,$O258+$S258,0)</f>
        <v>12.959999999999999</v>
      </c>
      <c r="R258" s="1455" cm="1">
        <f t="array" ref="R258">_xlfn.SWITCH(L258,R$3,O258+S258,P$3,P258,0)</f>
        <v>0</v>
      </c>
      <c r="S258" s="1455" cm="1">
        <f t="array" ref="S258">INDEX( Installations!M:M, $F258)/$I$1*(1-0.8*N258)*$K258</f>
        <v>3.42</v>
      </c>
      <c r="T258" s="1455">
        <f>SUM(O258:S258)</f>
        <v>25.92</v>
      </c>
      <c r="U258" s="1509"/>
      <c r="V258" s="1510" cm="1">
        <f t="array" ref="V258">INDEX( Installations!J:J, $F258)/$I$1*(1-0.8*N258)*$K258</f>
        <v>53.2</v>
      </c>
      <c r="W258" s="1455">
        <f>IF($L258=W$3,$V258+$Z258,0)</f>
        <v>0</v>
      </c>
      <c r="X258" s="1455">
        <f>IF($L258=X$3,$V258+$Z258,0)</f>
        <v>53.918000000000006</v>
      </c>
      <c r="Y258" s="1455" cm="1">
        <f t="array" ref="Y258">_xlfn.SWITCH(T258,Y$3,V258+Z258,W$3,W258,0)</f>
        <v>0</v>
      </c>
      <c r="Z258" s="1455" cm="1">
        <f t="array" ref="Z258">INDEX( Installations!K:K, $F258)/$I$1*(1-0.8*N258)*$K258</f>
        <v>0.71799999999999997</v>
      </c>
      <c r="AA258" s="1509">
        <f>SUM(V258:Z258)</f>
        <v>107.83600000000001</v>
      </c>
      <c r="AB258" s="1509"/>
    </row>
    <row r="259" spans="2:28" ht="15.75">
      <c r="B259" s="1888"/>
      <c r="C259" s="1886"/>
      <c r="D259" s="163" t="s">
        <v>472</v>
      </c>
      <c r="E259" s="164" t="str">
        <f>'Outil détaillé'!F61</f>
        <v>Installation photovoltaique (1 m2 = 0.14 kWp)</v>
      </c>
      <c r="F259" s="164">
        <f>MATCH(D259, Installations!A:A,0)</f>
        <v>5</v>
      </c>
      <c r="G259" s="665" t="str" cm="1">
        <f t="array" ref="G259">INDEX( Installations!B:B, $F259)</f>
        <v>Solarstromanlage Flachdach</v>
      </c>
      <c r="H259" s="665" t="str" cm="1">
        <f t="array" ref="H259">INDEX( Installations!A:A, $F259)</f>
        <v>Installation photovoltaique (1 m2 = 0.14 kWp)</v>
      </c>
      <c r="I259" s="665" t="str" cm="1">
        <f t="array" ref="I259">INDEX( Installations!F:F, $F259)</f>
        <v>34.026</v>
      </c>
      <c r="J259" s="665" t="s">
        <v>93</v>
      </c>
      <c r="K259" s="669">
        <f>M259*'Outil détaillé'!K61</f>
        <v>0</v>
      </c>
      <c r="L259" s="665" cm="1">
        <f t="array" ref="L259">INDEX( Installations!I:I, $F259)</f>
        <v>30</v>
      </c>
      <c r="M259" s="1526" cm="1">
        <f t="array" ref="M259">INDEX( Installations!G:G, $F259)</f>
        <v>1</v>
      </c>
      <c r="N259" s="1630"/>
      <c r="O259" s="1510" cm="1">
        <f t="array" ref="O259">INDEX( Installations!L:L, $F259)/$I$1*(1-0.8*N259)*$K259</f>
        <v>0</v>
      </c>
      <c r="P259" s="1455">
        <f>IF($L259=P$3,$O259+$S259,0)</f>
        <v>0</v>
      </c>
      <c r="Q259" s="1455">
        <f>IF($L259=Q$3,$O259+$S259,0)</f>
        <v>0</v>
      </c>
      <c r="R259" s="1455" cm="1">
        <f t="array" ref="R259">_xlfn.SWITCH(L259,R$3,O259+S259,P$3,P259,0)</f>
        <v>0</v>
      </c>
      <c r="S259" s="1455" cm="1">
        <f t="array" ref="S259">INDEX( Installations!M:M, $F259)/$I$1*(1-0.8*N259)*$K259</f>
        <v>0</v>
      </c>
      <c r="T259" s="1455">
        <f>SUM(O259:S259)</f>
        <v>0</v>
      </c>
      <c r="U259" s="1509"/>
      <c r="V259" s="1510" cm="1">
        <f t="array" ref="V259">INDEX( Installations!J:J, $F259)/$I$1*(1-0.8*N259)*$K259</f>
        <v>0</v>
      </c>
      <c r="W259" s="1455">
        <f>IF($L259=W$3,$V259+$Z259,0)</f>
        <v>0</v>
      </c>
      <c r="X259" s="1455">
        <f>IF($L259=X$3,$V259+$Z259,0)</f>
        <v>0</v>
      </c>
      <c r="Y259" s="1455" cm="1">
        <f t="array" ref="Y259">_xlfn.SWITCH(T259,Y$3,V259+Z259,W$3,W259,0)</f>
        <v>0</v>
      </c>
      <c r="Z259" s="1455" cm="1">
        <f t="array" ref="Z259">INDEX( Installations!K:K, $F259)/$I$1*(1-0.8*N259)*$K259</f>
        <v>0</v>
      </c>
      <c r="AA259" s="1509">
        <f>SUM(V259:Z259)</f>
        <v>0</v>
      </c>
      <c r="AB259" s="1509"/>
    </row>
    <row r="260" spans="2:28" ht="15.75">
      <c r="B260" s="1888"/>
      <c r="C260" s="1886" t="str">
        <f>'Outil détaillé'!C62</f>
        <v>D05</v>
      </c>
      <c r="D260" s="162" t="str">
        <f>'Outil détaillé'!D62</f>
        <v>Installations techniques de chauffage</v>
      </c>
      <c r="E260" s="162"/>
      <c r="F260" s="162"/>
      <c r="G260" s="162"/>
      <c r="H260" s="162"/>
      <c r="I260" s="162"/>
      <c r="J260" s="162"/>
      <c r="K260" s="265"/>
      <c r="L260" s="264"/>
      <c r="M260" s="1523"/>
      <c r="N260" s="1628"/>
      <c r="O260" s="1503">
        <f>SUM(O261:O265)</f>
        <v>17.691171875000002</v>
      </c>
      <c r="P260" s="1504">
        <f t="shared" ref="P260:R260" si="421">SUM(P261:P265)</f>
        <v>0.11925982473438507</v>
      </c>
      <c r="Q260" s="1504">
        <f t="shared" si="421"/>
        <v>10.625</v>
      </c>
      <c r="R260" s="1504">
        <f t="shared" si="421"/>
        <v>11.022384824734385</v>
      </c>
      <c r="S260" s="1504">
        <f>SUM(S261:S265)</f>
        <v>3.9562129497343852</v>
      </c>
      <c r="T260" s="1504">
        <f>SUM(T261:T265)</f>
        <v>43.414029474203161</v>
      </c>
      <c r="U260" s="1505"/>
      <c r="V260" s="1503">
        <f>SUM(V261:V265)</f>
        <v>88.779925195186735</v>
      </c>
      <c r="W260" s="1504">
        <f t="shared" ref="W260:Y260" si="422">SUM(W261:W265)</f>
        <v>0.20024486377173209</v>
      </c>
      <c r="X260" s="1504">
        <f t="shared" si="422"/>
        <v>43.463499999999996</v>
      </c>
      <c r="Y260" s="1504">
        <f t="shared" si="422"/>
        <v>0</v>
      </c>
      <c r="Z260" s="1504">
        <f>SUM(Z261:Z265)</f>
        <v>2.8322571685849969</v>
      </c>
      <c r="AA260" s="1505">
        <f>SUM(AA261:AA265)</f>
        <v>135.27592722754346</v>
      </c>
      <c r="AB260" s="1505"/>
    </row>
    <row r="261" spans="2:28" ht="15.75">
      <c r="B261" s="1888"/>
      <c r="C261" s="1886"/>
      <c r="D261" s="163" t="s">
        <v>257</v>
      </c>
      <c r="E261" s="164" t="str">
        <f>'Outil détaillé'!F63</f>
        <v>Pompe à chaleur saumure-eau 15 kW</v>
      </c>
      <c r="F261" s="164">
        <f>MATCH(E261, Installations!A:A,0)</f>
        <v>18</v>
      </c>
      <c r="G261" s="665" cm="1">
        <f t="array" ref="G261">INDEX( Installations!B:B, $F261)</f>
        <v>0</v>
      </c>
      <c r="H261" s="665" t="str" cm="1">
        <f t="array" ref="H261">INDEX( Installations!A:A, $F261)</f>
        <v>Pompe à chaleur saumure-eau 15 kW</v>
      </c>
      <c r="I261" s="665" cm="1">
        <f t="array" ref="I261">INDEX( Installations!F:F, $F261)</f>
        <v>0</v>
      </c>
      <c r="J261" s="665" t="s">
        <v>87</v>
      </c>
      <c r="K261" s="669">
        <f>M261*'Outil détaillé'!K63</f>
        <v>1</v>
      </c>
      <c r="L261" s="665" cm="1">
        <f t="array" ref="L261">INDEX( Installations!I:I, $F261)</f>
        <v>20</v>
      </c>
      <c r="M261" s="1526" cm="1">
        <f t="array" ref="M261">INDEX( Installations!G:G, $F261)</f>
        <v>6.2500000000000003E-3</v>
      </c>
      <c r="N261" s="1630"/>
      <c r="O261" s="1510" cm="1">
        <f t="array" ref="O261">INDEX( Installations!L:L, $F261)/$I$1*(1-0.8*N261)*$K261</f>
        <v>9.8046875000000006E-2</v>
      </c>
      <c r="P261" s="1455">
        <f t="shared" ref="P261:Q265" si="423">IF($L261=P$3,$O261+$S261,0)</f>
        <v>0.11925982473438507</v>
      </c>
      <c r="Q261" s="1455">
        <f t="shared" si="423"/>
        <v>0</v>
      </c>
      <c r="R261" s="1455" cm="1">
        <f t="array" ref="R261">_xlfn.SWITCH(L261,R$3,O261+S261,P$3,P261,0)</f>
        <v>0.11925982473438507</v>
      </c>
      <c r="S261" s="1455" cm="1">
        <f t="array" ref="S261">INDEX( Installations!M:M, $F261)/$I$1*(1-0.8*N261)*$K261</f>
        <v>2.1212949734385061E-2</v>
      </c>
      <c r="T261" s="1455">
        <f>SUM(O261:S261)</f>
        <v>0.35777947420315515</v>
      </c>
      <c r="U261" s="1509"/>
      <c r="V261" s="1510" cm="1">
        <f t="array" ref="V261">INDEX( Installations!J:J, $F261)/$I$1*(1-0.8*N261)*$K261</f>
        <v>0.19867519518673532</v>
      </c>
      <c r="W261" s="1455">
        <f t="shared" ref="W261:X265" si="424">IF($L261=W$3,$V261+$Z261,0)</f>
        <v>0.20024486377173209</v>
      </c>
      <c r="X261" s="1455">
        <f t="shared" si="424"/>
        <v>0</v>
      </c>
      <c r="Y261" s="1455" cm="1">
        <f t="array" ref="Y261">_xlfn.SWITCH(T261,Y$3,V261+Z261,W$3,W261,0)</f>
        <v>0</v>
      </c>
      <c r="Z261" s="1455" cm="1">
        <f t="array" ref="Z261">INDEX( Installations!K:K, $F261)/$I$1*(1-0.8*N261)*$K261</f>
        <v>1.5696685849967804E-3</v>
      </c>
      <c r="AA261" s="1509">
        <f>SUM(V261:Z261)</f>
        <v>0.40048972754346418</v>
      </c>
      <c r="AB261" s="1509"/>
    </row>
    <row r="262" spans="2:28" ht="15.75">
      <c r="B262" s="1888"/>
      <c r="C262" s="1886"/>
      <c r="D262" s="163" t="str">
        <f>'Outil détaillé'!$D$64</f>
        <v>Distribution et émission de chaleur  et accumulation</v>
      </c>
      <c r="E262" s="164" t="str">
        <f>'Outil détaillé'!F64</f>
        <v>Distribution et émission de chaleur habitation</v>
      </c>
      <c r="F262" s="164">
        <f>MATCH(E262, Installations!A:A,0)</f>
        <v>28</v>
      </c>
      <c r="G262" s="665" t="str" cm="1">
        <f t="array" ref="G262">INDEX( Installations!B:B, $F262)</f>
        <v>Verteilung Wohnen, Fussbodenheizung</v>
      </c>
      <c r="H262" s="665" t="str" cm="1">
        <f t="array" ref="H262">INDEX( Installations!A:A, $F262)</f>
        <v>Distribution et émission de chaleur habitation</v>
      </c>
      <c r="I262" s="665" t="str" cm="1">
        <f t="array" ref="I262">INDEX( Installations!F:F, $F262)</f>
        <v>31.021</v>
      </c>
      <c r="J262" s="665" t="s">
        <v>87</v>
      </c>
      <c r="K262" s="669">
        <f>M262*'Outil détaillé'!K64</f>
        <v>160</v>
      </c>
      <c r="L262" s="665" cm="1">
        <f t="array" ref="L262">INDEX( Installations!I:I, $F262)</f>
        <v>30</v>
      </c>
      <c r="M262" s="1526" cm="1">
        <f t="array" ref="M262">INDEX( Installations!G:G, $F262)</f>
        <v>1</v>
      </c>
      <c r="N262" s="1630"/>
      <c r="O262" s="1510" cm="1">
        <f t="array" ref="O262">INDEX( Installations!L:L, $F262)/$I$1*(1-0.8*N262)*$K262</f>
        <v>2.7700000000000005</v>
      </c>
      <c r="P262" s="1455">
        <f t="shared" si="423"/>
        <v>0</v>
      </c>
      <c r="Q262" s="1455">
        <f t="shared" si="423"/>
        <v>3.4650000000000003</v>
      </c>
      <c r="R262" s="1455" cm="1">
        <f t="array" ref="R262">_xlfn.SWITCH(L262,R$3,O262+S262,P$3,P262,0)</f>
        <v>0</v>
      </c>
      <c r="S262" s="1455" cm="1">
        <f t="array" ref="S262">INDEX( Installations!M:M, $F262)/$I$1*(1-0.8*N262)*$K262</f>
        <v>0.69499999999999995</v>
      </c>
      <c r="T262" s="1455">
        <f>SUM(O262:S262)</f>
        <v>6.9300000000000015</v>
      </c>
      <c r="U262" s="1509"/>
      <c r="V262" s="1510" cm="1">
        <f t="array" ref="V262">INDEX( Installations!J:J, $F262)/$I$1*(1-0.8*N262)*$K262</f>
        <v>11.099999999999998</v>
      </c>
      <c r="W262" s="1455">
        <f t="shared" si="424"/>
        <v>0</v>
      </c>
      <c r="X262" s="1455">
        <f t="shared" si="424"/>
        <v>13.239999999999998</v>
      </c>
      <c r="Y262" s="1455" cm="1">
        <f t="array" ref="Y262">_xlfn.SWITCH(T262,Y$3,V262+Z262,W$3,W262,0)</f>
        <v>0</v>
      </c>
      <c r="Z262" s="1455" cm="1">
        <f t="array" ref="Z262">INDEX( Installations!K:K, $F262)/$I$1*(1-0.8*N262)*$K262</f>
        <v>2.14</v>
      </c>
      <c r="AA262" s="1509">
        <f>SUM(V262:Z262)</f>
        <v>26.479999999999997</v>
      </c>
      <c r="AB262" s="1509"/>
    </row>
    <row r="263" spans="2:28" ht="15.75">
      <c r="B263" s="1888"/>
      <c r="C263" s="1886"/>
      <c r="D263" s="163"/>
      <c r="E263" s="164"/>
      <c r="F263" s="164">
        <f>F262+1</f>
        <v>29</v>
      </c>
      <c r="G263" s="665" cm="1">
        <f t="array" ref="G263">INDEX( Installations!B:B, $F263)</f>
        <v>0</v>
      </c>
      <c r="H263" s="665" cm="1">
        <f t="array" ref="H263">INDEX( Installations!A:A, $F263)</f>
        <v>0</v>
      </c>
      <c r="I263" s="665" t="str" cm="1">
        <f t="array" ref="I263">INDEX( Installations!F:F, $F263)</f>
        <v>31.024</v>
      </c>
      <c r="J263" s="665" t="s">
        <v>87</v>
      </c>
      <c r="K263" s="669">
        <f>M263*'Outil détaillé'!K64</f>
        <v>160</v>
      </c>
      <c r="L263" s="665" cm="1">
        <f t="array" ref="L263">INDEX( Installations!I:I, $F263)</f>
        <v>30</v>
      </c>
      <c r="M263" s="1526" cm="1">
        <f t="array" ref="M263">INDEX( Installations!G:G, $F263)</f>
        <v>1</v>
      </c>
      <c r="N263" s="1630"/>
      <c r="O263" s="1510" cm="1">
        <f t="array" ref="O263">INDEX( Installations!L:L, $F263)/$I$1*(1-0.8*N263)*$K263</f>
        <v>3.02</v>
      </c>
      <c r="P263" s="1455">
        <f t="shared" si="423"/>
        <v>0</v>
      </c>
      <c r="Q263" s="1455">
        <f t="shared" si="423"/>
        <v>5.0600000000000005</v>
      </c>
      <c r="R263" s="1455" cm="1">
        <f t="array" ref="R263">_xlfn.SWITCH(L263,R$3,O263+S263,P$3,P263,0)</f>
        <v>0</v>
      </c>
      <c r="S263" s="1455" cm="1">
        <f t="array" ref="S263">INDEX( Installations!M:M, $F263)/$I$1*(1-0.8*N263)*$K263</f>
        <v>2.04</v>
      </c>
      <c r="T263" s="1455">
        <f>SUM(O263:S263)</f>
        <v>10.120000000000001</v>
      </c>
      <c r="U263" s="1509"/>
      <c r="V263" s="1510" cm="1">
        <f t="array" ref="V263">INDEX( Installations!J:J, $F263)/$I$1*(1-0.8*N263)*$K263</f>
        <v>21.8</v>
      </c>
      <c r="W263" s="1455">
        <f t="shared" si="424"/>
        <v>0</v>
      </c>
      <c r="X263" s="1455">
        <f t="shared" si="424"/>
        <v>21.885999999999999</v>
      </c>
      <c r="Y263" s="1455" cm="1">
        <f t="array" ref="Y263">_xlfn.SWITCH(T263,Y$3,V263+Z263,W$3,W263,0)</f>
        <v>0</v>
      </c>
      <c r="Z263" s="1455" cm="1">
        <f t="array" ref="Z263">INDEX( Installations!K:K, $F263)/$I$1*(1-0.8*N263)*$K263</f>
        <v>8.5999999999999993E-2</v>
      </c>
      <c r="AA263" s="1509">
        <f>SUM(V263:Z263)</f>
        <v>43.771999999999998</v>
      </c>
      <c r="AB263" s="1509"/>
    </row>
    <row r="264" spans="2:28" ht="15.75">
      <c r="B264" s="1888"/>
      <c r="C264" s="1886"/>
      <c r="D264" s="163" t="s">
        <v>325</v>
      </c>
      <c r="E264" s="164" t="str">
        <f>'Outil détaillé'!F65</f>
        <v>Sondes géothermiques</v>
      </c>
      <c r="F264" s="164">
        <f>MATCH(E264, Installations!A:A,0)</f>
        <v>36</v>
      </c>
      <c r="G264" s="665" cm="1">
        <f t="array" ref="G264">INDEX( Installations!B:B, $F264)</f>
        <v>0</v>
      </c>
      <c r="H264" s="665" t="str" cm="1">
        <f t="array" ref="H264">INDEX( Installations!A:A, $F264)</f>
        <v>Sondes géothermiques</v>
      </c>
      <c r="I264" s="665" t="str" cm="1">
        <f t="array" ref="I264">INDEX( Installations!F:F, $F264)</f>
        <v>31.016</v>
      </c>
      <c r="J264" s="665" t="s">
        <v>87</v>
      </c>
      <c r="K264" s="669">
        <f>M264*'Outil détaillé'!K65</f>
        <v>150</v>
      </c>
      <c r="L264" s="665" cm="1">
        <f t="array" ref="L264">INDEX( Installations!I:I, $F264)</f>
        <v>40</v>
      </c>
      <c r="M264" s="1526" cm="1">
        <f t="array" ref="M264">INDEX( Installations!G:G, $F264)</f>
        <v>0.5</v>
      </c>
      <c r="N264" s="1630"/>
      <c r="O264" s="1510" cm="1">
        <f t="array" ref="O264">INDEX( Installations!L:L, $F264)/$I$1*(1-0.8*N264)*$K264</f>
        <v>9.703125</v>
      </c>
      <c r="P264" s="1455">
        <f t="shared" si="423"/>
        <v>0</v>
      </c>
      <c r="Q264" s="1455">
        <f t="shared" si="423"/>
        <v>0</v>
      </c>
      <c r="R264" s="1455" cm="1">
        <f t="array" ref="R264">_xlfn.SWITCH(L264,R$3,O264+S264,P$3,P264,0)</f>
        <v>10.903124999999999</v>
      </c>
      <c r="S264" s="1455" cm="1">
        <f t="array" ref="S264">INDEX( Installations!M:M, $F264)/$I$1*(1-0.8*N264)*$K264</f>
        <v>1.2</v>
      </c>
      <c r="T264" s="1455">
        <f>SUM(O264:S264)</f>
        <v>21.806249999999999</v>
      </c>
      <c r="U264" s="1509"/>
      <c r="V264" s="1510" cm="1">
        <f t="array" ref="V264">INDEX( Installations!J:J, $F264)/$I$1*(1-0.8*N264)*$K264</f>
        <v>47.34375</v>
      </c>
      <c r="W264" s="1455">
        <f t="shared" si="424"/>
        <v>0</v>
      </c>
      <c r="X264" s="1455">
        <f t="shared" si="424"/>
        <v>0</v>
      </c>
      <c r="Y264" s="1455" cm="1">
        <f t="array" ref="Y264">_xlfn.SWITCH(T264,Y$3,V264+Z264,W$3,W264,0)</f>
        <v>0</v>
      </c>
      <c r="Z264" s="1455" cm="1">
        <f t="array" ref="Z264">INDEX( Installations!K:K, $F264)/$I$1*(1-0.8*N264)*$K264</f>
        <v>0.60468750000000004</v>
      </c>
      <c r="AA264" s="1509">
        <f>SUM(V264:Z264)</f>
        <v>47.948437499999997</v>
      </c>
      <c r="AB264" s="1509"/>
    </row>
    <row r="265" spans="2:28" ht="15.75">
      <c r="B265" s="1888"/>
      <c r="C265" s="1886"/>
      <c r="D265" s="163" t="s">
        <v>97</v>
      </c>
      <c r="E265" s="164" t="str">
        <f>'Outil détaillé'!F66</f>
        <v>Capteurs solaires</v>
      </c>
      <c r="F265" s="164">
        <f>MATCH(E265, Installations!A:A,0)</f>
        <v>38</v>
      </c>
      <c r="G265" s="665" t="str" cm="1">
        <f t="array" ref="G265">INDEX( Installations!B:B, $F265)</f>
        <v>Flachkollektor für Warmwasser MFH</v>
      </c>
      <c r="H265" s="665" t="str" cm="1">
        <f t="array" ref="H265">INDEX( Installations!A:A, $F265)</f>
        <v>Capteurs solaires</v>
      </c>
      <c r="I265" s="665" t="str" cm="1">
        <f t="array" ref="I265">INDEX( Installations!F:F, $F265)</f>
        <v>31.009</v>
      </c>
      <c r="J265" s="665" t="s">
        <v>87</v>
      </c>
      <c r="K265" s="669">
        <f>M265*'Outil détaillé'!K66</f>
        <v>2</v>
      </c>
      <c r="L265" s="665" cm="1">
        <f t="array" ref="L265">INDEX( Installations!I:I, $F265)</f>
        <v>30</v>
      </c>
      <c r="M265" s="1526" cm="1">
        <f t="array" ref="M265">INDEX( Installations!G:G, $F265)</f>
        <v>1</v>
      </c>
      <c r="N265" s="1630"/>
      <c r="O265" s="1510" cm="1">
        <f t="array" ref="O265">INDEX( Installations!L:L, $F265)/$I$1*(1-0.8*N265)*$K265</f>
        <v>2.1</v>
      </c>
      <c r="P265" s="1455">
        <f t="shared" si="423"/>
        <v>0</v>
      </c>
      <c r="Q265" s="1455">
        <f t="shared" si="423"/>
        <v>2.1</v>
      </c>
      <c r="R265" s="1455" cm="1">
        <f t="array" ref="R265">_xlfn.SWITCH(L265,R$3,O265+S265,P$3,P265,0)</f>
        <v>0</v>
      </c>
      <c r="S265" s="1455" cm="1">
        <f t="array" ref="S265">INDEX( Installations!M:M, $F265)/$I$1*(1-0.8*N265)*$K265</f>
        <v>0</v>
      </c>
      <c r="T265" s="1455">
        <f>SUM(O265:S265)</f>
        <v>4.2</v>
      </c>
      <c r="U265" s="1509"/>
      <c r="V265" s="1510" cm="1">
        <f t="array" ref="V265">INDEX( Installations!J:J, $F265)/$I$1*(1-0.8*N265)*$K265</f>
        <v>8.3375000000000004</v>
      </c>
      <c r="W265" s="1455">
        <f t="shared" si="424"/>
        <v>0</v>
      </c>
      <c r="X265" s="1455">
        <f t="shared" si="424"/>
        <v>8.3375000000000004</v>
      </c>
      <c r="Y265" s="1455" cm="1">
        <f t="array" ref="Y265">_xlfn.SWITCH(T265,Y$3,V265+Z265,W$3,W265,0)</f>
        <v>0</v>
      </c>
      <c r="Z265" s="1455" cm="1">
        <f t="array" ref="Z265">INDEX( Installations!K:K, $F265)/$I$1*(1-0.8*N265)*$K265</f>
        <v>0</v>
      </c>
      <c r="AA265" s="1509">
        <f>SUM(V265:Z265)</f>
        <v>16.675000000000001</v>
      </c>
      <c r="AB265" s="1509"/>
    </row>
    <row r="266" spans="2:28" ht="15.75">
      <c r="B266" s="1888"/>
      <c r="C266" s="1886" t="str">
        <f>'Outil détaillé'!C67</f>
        <v>D07</v>
      </c>
      <c r="D266" s="162" t="s">
        <v>477</v>
      </c>
      <c r="E266" s="162"/>
      <c r="F266" s="162"/>
      <c r="G266" s="162"/>
      <c r="H266" s="162"/>
      <c r="I266" s="162"/>
      <c r="J266" s="162"/>
      <c r="K266" s="265"/>
      <c r="L266" s="264"/>
      <c r="M266" s="1523"/>
      <c r="N266" s="1628"/>
      <c r="O266" s="1503">
        <f>O267+O268</f>
        <v>18.119999999999997</v>
      </c>
      <c r="P266" s="1504">
        <f t="shared" ref="P266:R266" si="425">P267+P268</f>
        <v>0</v>
      </c>
      <c r="Q266" s="1504">
        <f t="shared" si="425"/>
        <v>18.582999999999998</v>
      </c>
      <c r="R266" s="1504">
        <f t="shared" si="425"/>
        <v>0</v>
      </c>
      <c r="S266" s="1504">
        <f>S267+S268</f>
        <v>0.46300000000000002</v>
      </c>
      <c r="T266" s="1504">
        <f>T267+T268</f>
        <v>37.165999999999997</v>
      </c>
      <c r="U266" s="1505"/>
      <c r="V266" s="1503">
        <f>V267+V268</f>
        <v>64</v>
      </c>
      <c r="W266" s="1504">
        <f t="shared" ref="W266:Y266" si="426">W267+W268</f>
        <v>0</v>
      </c>
      <c r="X266" s="1504">
        <f t="shared" si="426"/>
        <v>64.151929999999993</v>
      </c>
      <c r="Y266" s="1504">
        <f t="shared" si="426"/>
        <v>0</v>
      </c>
      <c r="Z266" s="1504">
        <f>Z267+Z268</f>
        <v>0.15192999999999998</v>
      </c>
      <c r="AA266" s="1505">
        <f>AA267+AA268</f>
        <v>128.30386000000001</v>
      </c>
      <c r="AB266" s="1505"/>
    </row>
    <row r="267" spans="2:28" ht="15.75">
      <c r="B267" s="1888"/>
      <c r="C267" s="1886"/>
      <c r="D267" s="163" t="s">
        <v>478</v>
      </c>
      <c r="E267" s="164" t="str">
        <f>'Outil détaillé'!F68</f>
        <v>Extraction mécanique cuisine et salle de bain</v>
      </c>
      <c r="F267" s="164">
        <f>MATCH(E267, Installations!A:A,0)</f>
        <v>41</v>
      </c>
      <c r="G267" s="665" t="str" cm="1">
        <f t="array" ref="G267">INDEX( Installations!B:B, $F267)</f>
        <v>Abluftanlage Küche und Bad</v>
      </c>
      <c r="H267" s="665" t="str" cm="1">
        <f t="array" ref="H267">INDEX( Installations!A:A, $F267)</f>
        <v>Extraction mécanique cuisine et salle de bain</v>
      </c>
      <c r="I267" s="665" t="str" cm="1">
        <f t="array" ref="I267">INDEX( Installations!F:F, $F267)</f>
        <v>32.003</v>
      </c>
      <c r="J267" s="665" t="s">
        <v>87</v>
      </c>
      <c r="K267" s="669">
        <f>M267*'Outil détaillé'!K68</f>
        <v>160</v>
      </c>
      <c r="L267" s="665" cm="1">
        <f t="array" ref="L267">INDEX( Installations!I:I, $F267)</f>
        <v>30</v>
      </c>
      <c r="M267" s="1526" cm="1">
        <f t="array" ref="M267">INDEX( Installations!G:G, $F267)</f>
        <v>1</v>
      </c>
      <c r="N267" s="1630"/>
      <c r="O267" s="1510" cm="1">
        <f t="array" ref="O267">INDEX( Installations!L:L, $F267)/$I$1*(1-0.8*N267)*$K267</f>
        <v>3.5199999999999996</v>
      </c>
      <c r="P267" s="1455">
        <f>IF($L267=P$3,$O267+$S267,0)</f>
        <v>0</v>
      </c>
      <c r="Q267" s="1455">
        <f>IF($L267=Q$3,$O267+$S267,0)</f>
        <v>3.6449999999999996</v>
      </c>
      <c r="R267" s="1455" cm="1">
        <f t="array" ref="R267">_xlfn.SWITCH(L267,R$3,O267+S267,P$3,P267,0)</f>
        <v>0</v>
      </c>
      <c r="S267" s="1455" cm="1">
        <f t="array" ref="S267">INDEX( Installations!M:M, $F267)/$I$1*(1-0.8*N267)*$K267</f>
        <v>0.125</v>
      </c>
      <c r="T267" s="1455">
        <f>SUM(O267:S267)</f>
        <v>7.2899999999999991</v>
      </c>
      <c r="U267" s="1509"/>
      <c r="V267" s="1510" cm="1">
        <f t="array" ref="V267">INDEX( Installations!J:J, $F267)/$I$1*(1-0.8*N267)*$K267</f>
        <v>13.7</v>
      </c>
      <c r="W267" s="1455">
        <f>IF($L267=W$3,$V267+$Z267,0)</f>
        <v>0</v>
      </c>
      <c r="X267" s="1455">
        <f>IF($L267=X$3,$V267+$Z267,0)</f>
        <v>13.707929999999999</v>
      </c>
      <c r="Y267" s="1455" cm="1">
        <f t="array" ref="Y267">_xlfn.SWITCH(T267,Y$3,V267+Z267,W$3,W267,0)</f>
        <v>0</v>
      </c>
      <c r="Z267" s="1455" cm="1">
        <f t="array" ref="Z267">INDEX( Installations!K:K, $F267)/$I$1*(1-0.8*N267)*$K267</f>
        <v>7.9299999999999995E-3</v>
      </c>
      <c r="AA267" s="1509">
        <f>SUM(V267:Z267)</f>
        <v>27.415860000000002</v>
      </c>
      <c r="AB267" s="1509"/>
    </row>
    <row r="268" spans="2:28" ht="15.75">
      <c r="B268" s="1888"/>
      <c r="C268" s="1886"/>
      <c r="D268" s="163" t="s">
        <v>479</v>
      </c>
      <c r="E268" s="164" t="str">
        <f>'Outil détaillé'!F69</f>
        <v>Système de ventilation habitation</v>
      </c>
      <c r="F268" s="164">
        <f>MATCH(E268, Installations!A:A,0)</f>
        <v>42</v>
      </c>
      <c r="G268" s="665" t="str" cm="1">
        <f t="array" ref="G268">INDEX( Installations!B:B, $F268)</f>
        <v>Lüftungsanlage, spez. Luftmenge 1 m3/hm2 EBF</v>
      </c>
      <c r="H268" s="665" t="str" cm="1">
        <f t="array" ref="H268">INDEX( Installations!A:A, $F268)</f>
        <v>Système de ventilation habitation</v>
      </c>
      <c r="I268" s="665" t="str" cm="1">
        <f t="array" ref="I268">INDEX( Installations!F:F, $F268)</f>
        <v>32.011</v>
      </c>
      <c r="J268" s="665" t="s">
        <v>87</v>
      </c>
      <c r="K268" s="669">
        <f>M268*'Outil détaillé'!K69</f>
        <v>160</v>
      </c>
      <c r="L268" s="665" cm="1">
        <f t="array" ref="L268">INDEX( Installations!I:I, $F268)</f>
        <v>30</v>
      </c>
      <c r="M268" s="1526" cm="1">
        <f t="array" ref="M268">INDEX( Installations!G:G, $F268)</f>
        <v>1</v>
      </c>
      <c r="N268" s="1630"/>
      <c r="O268" s="1510" cm="1">
        <f t="array" ref="O268">INDEX( Installations!L:L, $F268)/$I$1*(1-0.8*N268)*$K268</f>
        <v>14.6</v>
      </c>
      <c r="P268" s="1455">
        <f>IF($L268=P$3,$O268+$S268,0)</f>
        <v>0</v>
      </c>
      <c r="Q268" s="1455">
        <f>IF($L268=Q$3,$O268+$S268,0)</f>
        <v>14.937999999999999</v>
      </c>
      <c r="R268" s="1455" cm="1">
        <f t="array" ref="R268">_xlfn.SWITCH(L268,R$3,O268+S268,P$3,P268,0)</f>
        <v>0</v>
      </c>
      <c r="S268" s="1455" cm="1">
        <f t="array" ref="S268">INDEX( Installations!M:M, $F268)/$I$1*(1-0.8*N268)*$K268</f>
        <v>0.33800000000000002</v>
      </c>
      <c r="T268" s="1455">
        <f>SUM(O268:S268)</f>
        <v>29.875999999999998</v>
      </c>
      <c r="U268" s="1509"/>
      <c r="V268" s="1510" cm="1">
        <f t="array" ref="V268">INDEX( Installations!J:J, $F268)/$I$1*(1-0.8*N268)*$K268</f>
        <v>50.3</v>
      </c>
      <c r="W268" s="1455">
        <f>IF($L268=W$3,$V268+$Z268,0)</f>
        <v>0</v>
      </c>
      <c r="X268" s="1455">
        <f>IF($L268=X$3,$V268+$Z268,0)</f>
        <v>50.443999999999996</v>
      </c>
      <c r="Y268" s="1455" cm="1">
        <f t="array" ref="Y268">_xlfn.SWITCH(T268,Y$3,V268+Z268,W$3,W268,0)</f>
        <v>0</v>
      </c>
      <c r="Z268" s="1455" cm="1">
        <f t="array" ref="Z268">INDEX( Installations!K:K, $F268)/$I$1*(1-0.8*N268)*$K268</f>
        <v>0.14399999999999999</v>
      </c>
      <c r="AA268" s="1509">
        <f>SUM(V268:Z268)</f>
        <v>100.88800000000001</v>
      </c>
      <c r="AB268" s="1509"/>
    </row>
    <row r="269" spans="2:28" ht="15.75">
      <c r="B269" s="1888"/>
      <c r="C269" s="1873" t="str">
        <f>'Outil détaillé'!C70</f>
        <v>D08 /09</v>
      </c>
      <c r="D269" s="162" t="str">
        <f>'Outil détaillé'!D70</f>
        <v>Installations techniques d'eau</v>
      </c>
      <c r="E269" s="162"/>
      <c r="F269" s="162"/>
      <c r="G269" s="162"/>
      <c r="H269" s="162"/>
      <c r="I269" s="162"/>
      <c r="J269" s="162"/>
      <c r="K269" s="265"/>
      <c r="L269" s="264"/>
      <c r="M269" s="1523"/>
      <c r="N269" s="1628"/>
      <c r="O269" s="1503">
        <f>O270</f>
        <v>11</v>
      </c>
      <c r="P269" s="1504">
        <f t="shared" ref="P269:R269" si="427">P270</f>
        <v>0</v>
      </c>
      <c r="Q269" s="1504">
        <f t="shared" si="427"/>
        <v>12.54</v>
      </c>
      <c r="R269" s="1504">
        <f t="shared" si="427"/>
        <v>0</v>
      </c>
      <c r="S269" s="1504">
        <f>S270</f>
        <v>1.54</v>
      </c>
      <c r="T269" s="1504">
        <f>T270</f>
        <v>25.08</v>
      </c>
      <c r="U269" s="1505"/>
      <c r="V269" s="1503">
        <f>V270</f>
        <v>45.8</v>
      </c>
      <c r="W269" s="1504">
        <f t="shared" ref="W269:Y269" si="428">W270</f>
        <v>0</v>
      </c>
      <c r="X269" s="1504">
        <f t="shared" si="428"/>
        <v>46.082999999999998</v>
      </c>
      <c r="Y269" s="1504">
        <f t="shared" si="428"/>
        <v>0</v>
      </c>
      <c r="Z269" s="1504">
        <f>Z270</f>
        <v>0.28299999999999997</v>
      </c>
      <c r="AA269" s="1505">
        <f>AA270</f>
        <v>92.165999999999997</v>
      </c>
      <c r="AB269" s="1505"/>
    </row>
    <row r="270" spans="2:28" ht="16.5" thickBot="1">
      <c r="B270" s="1889"/>
      <c r="C270" s="1874"/>
      <c r="D270" s="1412" t="s">
        <v>482</v>
      </c>
      <c r="E270" s="1401" t="str">
        <f>'Outil détaillé'!F71</f>
        <v>Installation sanitaire habitation</v>
      </c>
      <c r="F270" s="1401">
        <f>MATCH(E270, Installations!A:A,0)</f>
        <v>47</v>
      </c>
      <c r="G270" s="1413" t="str" cm="1">
        <f t="array" ref="G270">INDEX( Installations!B:B, $F270)</f>
        <v>Sanitäranlagen, Wohnen, inkl. Apparate und Leitungen</v>
      </c>
      <c r="H270" s="1413" t="str" cm="1">
        <f t="array" ref="H270">INDEX( Installations!A:A, $F270)</f>
        <v>Installation sanitaire habitation</v>
      </c>
      <c r="I270" s="1413" t="str" cm="1">
        <f t="array" ref="I270">INDEX( Installations!F:F, $F270)</f>
        <v>33.003</v>
      </c>
      <c r="J270" s="1413" t="s">
        <v>87</v>
      </c>
      <c r="K270" s="1414">
        <f>M270*'Outil détaillé'!K71</f>
        <v>160</v>
      </c>
      <c r="L270" s="1413" cm="1">
        <f t="array" ref="L270">INDEX( Installations!I:I, $F270)</f>
        <v>30</v>
      </c>
      <c r="M270" s="1528" cm="1">
        <f t="array" ref="M270">INDEX( Installations!G:G, $F270)</f>
        <v>1</v>
      </c>
      <c r="N270" s="1632"/>
      <c r="O270" s="1514" cm="1">
        <f t="array" ref="O270">INDEX( Installations!L:L, $F270)/$I$1*(1-0.8*N270)*$K270</f>
        <v>11</v>
      </c>
      <c r="P270" s="1415">
        <f>IF($L270=P$3,$O270+$S270,0)</f>
        <v>0</v>
      </c>
      <c r="Q270" s="1415">
        <f>IF($L270=Q$3,$O270+$S270,0)</f>
        <v>12.54</v>
      </c>
      <c r="R270" s="1415" cm="1">
        <f t="array" ref="R270">_xlfn.SWITCH(L270,R$3,O270+S270,P$3,P270,0)</f>
        <v>0</v>
      </c>
      <c r="S270" s="1415" cm="1">
        <f t="array" ref="S270">INDEX( Installations!M:M, $F270)/$I$1*(1-0.8*N270)*$K270</f>
        <v>1.54</v>
      </c>
      <c r="T270" s="1415">
        <f>SUM(O270:S270)</f>
        <v>25.08</v>
      </c>
      <c r="U270" s="1515"/>
      <c r="V270" s="1514" cm="1">
        <f t="array" ref="V270">INDEX( Installations!J:J, $F270)/$I$1*(1-0.8*N270)*$K270</f>
        <v>45.8</v>
      </c>
      <c r="W270" s="1415">
        <f>IF($L270=W$3,$V270+$Z270,0)</f>
        <v>0</v>
      </c>
      <c r="X270" s="1415">
        <f>IF($L270=X$3,$V270+$Z270,0)</f>
        <v>46.082999999999998</v>
      </c>
      <c r="Y270" s="1415" cm="1">
        <f t="array" ref="Y270">_xlfn.SWITCH(T270,Y$3,V270+Z270,W$3,W270,0)</f>
        <v>0</v>
      </c>
      <c r="Z270" s="1415" cm="1">
        <f t="array" ref="Z270">INDEX( Installations!K:K, $F270)/$I$1*(1-0.8*N270)*$K270</f>
        <v>0.28299999999999997</v>
      </c>
      <c r="AA270" s="1515">
        <f>SUM(V270:Z270)</f>
        <v>92.165999999999997</v>
      </c>
      <c r="AB270" s="1515"/>
    </row>
    <row r="271" spans="2:28" ht="15.75" customHeight="1">
      <c r="B271" s="1881" t="s">
        <v>3956</v>
      </c>
      <c r="C271" s="1867" t="s">
        <v>3776</v>
      </c>
      <c r="D271" s="1457" t="str">
        <f>'Outil détaillé'!D72</f>
        <v>Surfaces en dur</v>
      </c>
      <c r="E271" s="1457"/>
      <c r="F271" s="1457"/>
      <c r="G271" s="1457"/>
      <c r="H271" s="1457"/>
      <c r="I271" s="1457"/>
      <c r="J271" s="1457"/>
      <c r="K271" s="1458"/>
      <c r="L271" s="1459"/>
      <c r="M271" s="1459"/>
      <c r="N271" s="1645"/>
      <c r="O271" s="1486">
        <f ca="1">O272+O278+O284</f>
        <v>0</v>
      </c>
      <c r="P271" s="1041">
        <f t="shared" ref="P271:T271" ca="1" si="429">P272+P278+P284</f>
        <v>0</v>
      </c>
      <c r="Q271" s="1041">
        <f t="shared" ca="1" si="429"/>
        <v>0</v>
      </c>
      <c r="R271" s="1487">
        <f t="shared" ca="1" si="429"/>
        <v>0</v>
      </c>
      <c r="S271" s="1486">
        <f t="shared" ca="1" si="429"/>
        <v>0</v>
      </c>
      <c r="T271" s="1638">
        <f t="shared" ca="1" si="429"/>
        <v>0</v>
      </c>
      <c r="U271" s="1643">
        <f ca="1">U272+U278+U284</f>
        <v>0</v>
      </c>
      <c r="V271" s="1486">
        <f ca="1">V272+V278+V284</f>
        <v>0</v>
      </c>
      <c r="W271" s="1041">
        <f t="shared" ref="W271:AA271" ca="1" si="430">W272+W278+W284</f>
        <v>0</v>
      </c>
      <c r="X271" s="1041">
        <f t="shared" ca="1" si="430"/>
        <v>0</v>
      </c>
      <c r="Y271" s="1041">
        <f t="shared" ca="1" si="430"/>
        <v>0</v>
      </c>
      <c r="Z271" s="1041">
        <f t="shared" ca="1" si="430"/>
        <v>0</v>
      </c>
      <c r="AA271" s="1487">
        <f t="shared" ca="1" si="430"/>
        <v>0</v>
      </c>
      <c r="AB271" s="1487"/>
    </row>
    <row r="272" spans="2:28" ht="16.149999999999999" customHeight="1">
      <c r="B272" s="1882"/>
      <c r="C272" s="1868"/>
      <c r="D272" s="1403" t="str">
        <f>'Outil détaillé'!D73</f>
        <v>Revêtement parking</v>
      </c>
      <c r="E272" s="1407" t="str">
        <f>'Outil détaillé'!F73</f>
        <v>Revêt. bit. simple</v>
      </c>
      <c r="F272" s="1454">
        <f ca="1">MATCH(E272, INDIRECT("'Abords des bâtiments'!A1:A500"),0)</f>
        <v>5</v>
      </c>
      <c r="G272" s="1454"/>
      <c r="H272" s="1454"/>
      <c r="I272" s="1454"/>
      <c r="J272" s="1454"/>
      <c r="K272" s="1635" t="str">
        <f>'Outil détaillé'!K73</f>
        <v>0</v>
      </c>
      <c r="L272" s="1454"/>
      <c r="M272" s="1483"/>
      <c r="N272" s="1646"/>
      <c r="O272" s="1584">
        <f ca="1">SUM(O273:O277)</f>
        <v>0</v>
      </c>
      <c r="P272" s="1455">
        <f t="shared" ref="P272:U272" ca="1" si="431">SUM(P273:P277)</f>
        <v>0</v>
      </c>
      <c r="Q272" s="1455">
        <f t="shared" ca="1" si="431"/>
        <v>0</v>
      </c>
      <c r="R272" s="1509">
        <f t="shared" ca="1" si="431"/>
        <v>0</v>
      </c>
      <c r="S272" s="1510">
        <f t="shared" ca="1" si="431"/>
        <v>0</v>
      </c>
      <c r="T272" s="1639">
        <f t="shared" ca="1" si="431"/>
        <v>0</v>
      </c>
      <c r="U272" s="1644">
        <f t="shared" ca="1" si="431"/>
        <v>0</v>
      </c>
      <c r="V272" s="1584">
        <f ca="1">SUM(V273:V277)</f>
        <v>0</v>
      </c>
      <c r="W272" s="1455">
        <f t="shared" ref="W272" ca="1" si="432">SUM(W273:W277)</f>
        <v>0</v>
      </c>
      <c r="X272" s="1455">
        <f t="shared" ref="X272" ca="1" si="433">SUM(X273:X277)</f>
        <v>0</v>
      </c>
      <c r="Y272" s="1455">
        <f t="shared" ref="Y272" ca="1" si="434">SUM(Y273:Y277)</f>
        <v>0</v>
      </c>
      <c r="Z272" s="1455">
        <f t="shared" ref="Z272" ca="1" si="435">SUM(Z273:Z277)</f>
        <v>0</v>
      </c>
      <c r="AA272" s="1598">
        <f t="shared" ref="AA272" ca="1" si="436">SUM(AA273:AA277)</f>
        <v>0</v>
      </c>
      <c r="AB272" s="1598"/>
    </row>
    <row r="273" spans="2:28" ht="15.75" outlineLevel="1">
      <c r="B273" s="1882"/>
      <c r="C273" s="1868"/>
      <c r="D273" s="1402"/>
      <c r="E273" s="1409"/>
      <c r="F273" s="1402">
        <f ca="1">IF(I273=0,2,F272+1)</f>
        <v>6</v>
      </c>
      <c r="G273" s="1402" t="str" cm="1">
        <f t="array" aca="1" ref="G273" ca="1">INDEX( 'Abords des bâtiments'!C:C, $F272)</f>
        <v>Excavation 40cm</v>
      </c>
      <c r="H273" s="1402" t="str" cm="1">
        <f t="array" aca="1" ref="H273" ca="1">INDEX( 'Abords des bâtiments'!D:D, $F272)</f>
        <v>Excavations mécaniques, en moyenne</v>
      </c>
      <c r="I273" s="1402" t="str" cm="1">
        <f t="array" aca="1" ref="I273" ca="1">INDEX( 'Abords des bâtiments'!G:G, $F272)</f>
        <v>62.001</v>
      </c>
      <c r="J273" s="1402">
        <f ca="1">_xlfn.XLOOKUP($I273,'Baumaterialien Matériaux'!A:A,'Baumaterialien Matériaux'!G:G,0,0)</f>
        <v>0</v>
      </c>
      <c r="K273" s="1402">
        <f ca="1">M273*$K$272</f>
        <v>0</v>
      </c>
      <c r="L273" s="1409" cm="1">
        <f t="array" aca="1" ref="L273" ca="1">INDEX( 'Abords des bâtiments'!J:J, $F272)</f>
        <v>60</v>
      </c>
      <c r="M273" s="1522" cm="1">
        <f t="array" aca="1" ref="M273" ca="1">INDEX( 'Abords des bâtiments'!H:H, $F272)</f>
        <v>0.4</v>
      </c>
      <c r="N273" s="1647">
        <f>'Outil détaillé'!E$73</f>
        <v>0</v>
      </c>
      <c r="O273" s="1585" cm="1">
        <f t="array" aca="1" ref="O273" ca="1">IFERROR(INDEX('Abords des bâtiments'!M:M, $F272)*$K273/$M273,0)/$I$1*(1-0.8*N273)</f>
        <v>0</v>
      </c>
      <c r="P273" s="1405">
        <f ca="1">IF($L273=P$3,$O273+$S273,0)</f>
        <v>0</v>
      </c>
      <c r="Q273" s="1411">
        <f t="shared" ref="Q273:Q289" ca="1" si="437">IF($L273=Q$3,$O273+$S273,0)</f>
        <v>0</v>
      </c>
      <c r="R273" s="275" cm="1">
        <f t="array" aca="1" ref="R273" ca="1">_xlfn.SWITCH(L273,R$3,O273+S273,P$3,P273,0)</f>
        <v>0</v>
      </c>
      <c r="S273" s="1585" cm="1">
        <f t="array" aca="1" ref="S273" ca="1">IFERROR(INDEX('Abords des bâtiments'!N:N, $F272)*$K273/$M273,0)/$I$1*(1-0.8*N273)</f>
        <v>0</v>
      </c>
      <c r="T273" s="1640">
        <f ca="1">SUM(O273:S273)</f>
        <v>0</v>
      </c>
      <c r="U273" s="1599" cm="1">
        <f t="array" aca="1" ref="U273" ca="1">IFERROR(INDEX('Abords des bâtiments'!O:O, $F272)*$K273/$M273,0)/$I$1*(1-0.8*N273)</f>
        <v>0</v>
      </c>
      <c r="V273" s="1585" cm="1">
        <f t="array" aca="1" ref="V273" ca="1">IFERROR(INDEX('Abords des bâtiments'!K:K, $F272)*$K273/$M273,0)/$I$1*(1-0.8*N273)</f>
        <v>0</v>
      </c>
      <c r="W273" s="1405">
        <f ca="1">IF($L273=W$3,$O273+$S273,0)</f>
        <v>0</v>
      </c>
      <c r="X273" s="1411">
        <f t="shared" ref="X273:X289" ca="1" si="438">IF($L273=X$3,$O273+$S273,0)</f>
        <v>0</v>
      </c>
      <c r="Y273" s="256" cm="1">
        <f t="array" aca="1" ref="Y273" ca="1">_xlfn.SWITCH(T273,Y$3,V273+Z273,W$3,W273,0)</f>
        <v>0</v>
      </c>
      <c r="Z273" s="1585" cm="1">
        <f t="array" aca="1" ref="Z273" ca="1">IFERROR(INDEX('Abords des bâtiments'!L:L, $F272)*$K273/$M273,0)/$I$1*(1-0.8*N273)</f>
        <v>0</v>
      </c>
      <c r="AA273" s="1460">
        <f ca="1">SUM(V273:Z273)</f>
        <v>0</v>
      </c>
      <c r="AB273" s="1460"/>
    </row>
    <row r="274" spans="2:28" ht="15.75" outlineLevel="1">
      <c r="B274" s="1882"/>
      <c r="C274" s="1868"/>
      <c r="D274" s="1402"/>
      <c r="E274" s="1409"/>
      <c r="F274" s="1402">
        <f ca="1">IF(I274=0,2,F273+1)</f>
        <v>7</v>
      </c>
      <c r="G274" s="1402" t="str" cm="1">
        <f t="array" aca="1" ref="G274" ca="1">INDEX( 'Abords des bâtiments'!C:C, $F273)</f>
        <v>Gravier 1450kg/m3 30cm</v>
      </c>
      <c r="H274" s="1402" t="str" cm="1">
        <f t="array" aca="1" ref="H274" ca="1">INDEX( 'Abords des bâtiments'!D:D, $F273)</f>
        <v>Gravier concassé 1</v>
      </c>
      <c r="I274" s="1402" t="str" cm="1">
        <f t="array" aca="1" ref="I274" ca="1">INDEX( 'Abords des bâtiments'!G:G, $F273)</f>
        <v>03.011</v>
      </c>
      <c r="J274" s="1402" t="str">
        <f ca="1">_xlfn.XLOOKUP($I274,'Baumaterialien Matériaux'!A:A,'Baumaterialien Matériaux'!G:G,0,0)</f>
        <v>kg</v>
      </c>
      <c r="K274" s="1402">
        <f t="shared" ref="K274:K277" ca="1" si="439">M274*$K$272</f>
        <v>0</v>
      </c>
      <c r="L274" s="1409" cm="1">
        <f t="array" aca="1" ref="L274" ca="1">INDEX( 'Abords des bâtiments'!J:J, $F273)</f>
        <v>60</v>
      </c>
      <c r="M274" s="1522" cm="1">
        <f t="array" aca="1" ref="M274" ca="1">INDEX( 'Abords des bâtiments'!H:H, $F273)</f>
        <v>450</v>
      </c>
      <c r="N274" s="1647">
        <f>'Outil détaillé'!E$73</f>
        <v>0</v>
      </c>
      <c r="O274" s="1585" cm="1">
        <f t="array" aca="1" ref="O274" ca="1">IFERROR(INDEX('Abords des bâtiments'!M:M, $F273)*$K274/$M274,0)/$I$1*(1-0.8*N274)</f>
        <v>0</v>
      </c>
      <c r="P274" s="1405">
        <f t="shared" ref="P274:P277" ca="1" si="440">IF($L274=P$3,$O274+$S274,0)</f>
        <v>0</v>
      </c>
      <c r="Q274" s="1411">
        <f t="shared" ca="1" si="437"/>
        <v>0</v>
      </c>
      <c r="R274" s="275" cm="1">
        <f t="array" aca="1" ref="R274" ca="1">_xlfn.SWITCH(L274,R$3,O274+S274,P$3,P274,0)</f>
        <v>0</v>
      </c>
      <c r="S274" s="1585" cm="1">
        <f t="array" aca="1" ref="S274" ca="1">IFERROR(INDEX('Abords des bâtiments'!N:N, $F273)*$K274/$M274,0)/$I$1*(1-0.8*N274)</f>
        <v>0</v>
      </c>
      <c r="T274" s="1640">
        <f t="shared" ref="T274:T277" ca="1" si="441">SUM(O274:S274)</f>
        <v>0</v>
      </c>
      <c r="U274" s="1599" cm="1">
        <f t="array" aca="1" ref="U274" ca="1">IFERROR(INDEX('Abords des bâtiments'!O:O, $F273)*$K274/$M274,0)/$I$1*(1-0.8*N274)</f>
        <v>0</v>
      </c>
      <c r="V274" s="1585" cm="1">
        <f t="array" aca="1" ref="V274" ca="1">IFERROR(INDEX('Abords des bâtiments'!K:K, $F273)*$K274/$M274,0)/$I$1*(1-0.8*N274)</f>
        <v>0</v>
      </c>
      <c r="W274" s="1405">
        <f t="shared" ref="W274:W277" ca="1" si="442">IF($L274=W$3,$O274+$S274,0)</f>
        <v>0</v>
      </c>
      <c r="X274" s="1411">
        <f t="shared" ca="1" si="438"/>
        <v>0</v>
      </c>
      <c r="Y274" s="256" cm="1">
        <f t="array" aca="1" ref="Y274" ca="1">_xlfn.SWITCH(T274,Y$3,V274+Z274,W$3,W274,0)</f>
        <v>0</v>
      </c>
      <c r="Z274" s="1585" cm="1">
        <f t="array" aca="1" ref="Z274" ca="1">IFERROR(INDEX('Abords des bâtiments'!L:L, $F273)*$K274/$M274,0)/$I$1*(1-0.8*N274)</f>
        <v>0</v>
      </c>
      <c r="AA274" s="1460">
        <f t="shared" ref="AA274:AA277" ca="1" si="443">SUM(V274:Z274)</f>
        <v>0</v>
      </c>
      <c r="AB274" s="1460"/>
    </row>
    <row r="275" spans="2:28" ht="15.75" outlineLevel="1">
      <c r="B275" s="1882"/>
      <c r="C275" s="1868"/>
      <c r="D275" s="1402"/>
      <c r="E275" s="1409"/>
      <c r="F275" s="1402">
        <f ca="1">IF(I275=0,2,F274+1)</f>
        <v>8</v>
      </c>
      <c r="G275" s="1402" t="str" cm="1">
        <f t="array" aca="1" ref="G275" ca="1">INDEX( 'Abords des bâtiments'!C:C, $F274)</f>
        <v>Enrobé bitumineux  7cm</v>
      </c>
      <c r="H275" s="1402" t="str" cm="1">
        <f t="array" aca="1" ref="H275" ca="1">INDEX( 'Abords des bâtiments'!D:D, $F274)</f>
        <v>Enrobé bitumineux</v>
      </c>
      <c r="I275" s="1402" t="str" cm="1">
        <f t="array" aca="1" ref="I275" ca="1">INDEX( 'Abords des bâtiments'!G:G, $F274)</f>
        <v>01.003</v>
      </c>
      <c r="J275" s="1402" t="str">
        <f ca="1">_xlfn.XLOOKUP($I275,'Baumaterialien Matériaux'!A:A,'Baumaterialien Matériaux'!G:G,0,0)</f>
        <v>kg</v>
      </c>
      <c r="K275" s="1402">
        <f t="shared" ca="1" si="439"/>
        <v>0</v>
      </c>
      <c r="L275" s="1409" cm="1">
        <f t="array" aca="1" ref="L275" ca="1">INDEX( 'Abords des bâtiments'!J:J, $F274)</f>
        <v>60</v>
      </c>
      <c r="M275" s="1522" cm="1">
        <f t="array" aca="1" ref="M275" ca="1">INDEX( 'Abords des bâtiments'!H:H, $F274)</f>
        <v>168.00000000000003</v>
      </c>
      <c r="N275" s="1647">
        <f>'Outil détaillé'!E$73</f>
        <v>0</v>
      </c>
      <c r="O275" s="1585" cm="1">
        <f t="array" aca="1" ref="O275" ca="1">IFERROR(INDEX('Abords des bâtiments'!M:M, $F274)*$K275/$M275,0)/$I$1*(1-0.8*N275)</f>
        <v>0</v>
      </c>
      <c r="P275" s="1405">
        <f t="shared" ca="1" si="440"/>
        <v>0</v>
      </c>
      <c r="Q275" s="1411">
        <f t="shared" ca="1" si="437"/>
        <v>0</v>
      </c>
      <c r="R275" s="275" cm="1">
        <f t="array" aca="1" ref="R275" ca="1">_xlfn.SWITCH(L275,R$3,O275+S275,P$3,P275,0)</f>
        <v>0</v>
      </c>
      <c r="S275" s="1585" cm="1">
        <f t="array" aca="1" ref="S275" ca="1">IFERROR(INDEX('Abords des bâtiments'!N:N, $F274)*$K275/$M275,0)/$I$1*(1-0.8*N275)</f>
        <v>0</v>
      </c>
      <c r="T275" s="1640">
        <f t="shared" ca="1" si="441"/>
        <v>0</v>
      </c>
      <c r="U275" s="1599" cm="1">
        <f t="array" aca="1" ref="U275" ca="1">IFERROR(INDEX('Abords des bâtiments'!O:O, $F274)*$K275/$M275,0)/$I$1*(1-0.8*N275)</f>
        <v>0</v>
      </c>
      <c r="V275" s="1585" cm="1">
        <f t="array" aca="1" ref="V275" ca="1">IFERROR(INDEX('Abords des bâtiments'!K:K, $F274)*$K275/$M275,0)/$I$1*(1-0.8*N275)</f>
        <v>0</v>
      </c>
      <c r="W275" s="1405">
        <f t="shared" ca="1" si="442"/>
        <v>0</v>
      </c>
      <c r="X275" s="1411">
        <f t="shared" ca="1" si="438"/>
        <v>0</v>
      </c>
      <c r="Y275" s="256" cm="1">
        <f t="array" aca="1" ref="Y275" ca="1">_xlfn.SWITCH(T275,Y$3,V275+Z275,W$3,W275,0)</f>
        <v>0</v>
      </c>
      <c r="Z275" s="1585" cm="1">
        <f t="array" aca="1" ref="Z275" ca="1">IFERROR(INDEX('Abords des bâtiments'!L:L, $F274)*$K275/$M275,0)/$I$1*(1-0.8*N275)</f>
        <v>0</v>
      </c>
      <c r="AA275" s="1460">
        <f t="shared" ca="1" si="443"/>
        <v>0</v>
      </c>
      <c r="AB275" s="1460"/>
    </row>
    <row r="276" spans="2:28" ht="15.75" outlineLevel="1">
      <c r="B276" s="1882"/>
      <c r="C276" s="1868"/>
      <c r="D276" s="1402"/>
      <c r="E276" s="1409"/>
      <c r="F276" s="1402">
        <f t="shared" ref="F276:F289" ca="1" si="444">IF(I276=0,2,F275+1)</f>
        <v>2</v>
      </c>
      <c r="G276" s="1402" cm="1">
        <f t="array" aca="1" ref="G276" ca="1">INDEX( 'Abords des bâtiments'!C:C, $F275)</f>
        <v>0</v>
      </c>
      <c r="H276" s="1402" cm="1">
        <f t="array" aca="1" ref="H276" ca="1">INDEX( 'Abords des bâtiments'!D:D, $F275)</f>
        <v>0</v>
      </c>
      <c r="I276" s="1402" cm="1">
        <f t="array" aca="1" ref="I276" ca="1">INDEX( 'Abords des bâtiments'!G:G, $F275)</f>
        <v>0</v>
      </c>
      <c r="J276" s="1402">
        <f ca="1">_xlfn.XLOOKUP($I276,'Baumaterialien Matériaux'!A:A,'Baumaterialien Matériaux'!G:G,0,0)</f>
        <v>0</v>
      </c>
      <c r="K276" s="1402">
        <f t="shared" ca="1" si="439"/>
        <v>0</v>
      </c>
      <c r="L276" s="1409" cm="1">
        <f t="array" aca="1" ref="L276" ca="1">INDEX( 'Abords des bâtiments'!J:J, $F275)</f>
        <v>0</v>
      </c>
      <c r="M276" s="1522" cm="1">
        <f t="array" aca="1" ref="M276" ca="1">INDEX( 'Abords des bâtiments'!H:H, $F275)</f>
        <v>0</v>
      </c>
      <c r="N276" s="1647">
        <f>'Outil détaillé'!E$73</f>
        <v>0</v>
      </c>
      <c r="O276" s="1585" cm="1">
        <f t="array" aca="1" ref="O276" ca="1">IFERROR(INDEX('Abords des bâtiments'!M:M, $F275)*$K276/$M276,0)/$I$1*(1-0.8*N276)</f>
        <v>0</v>
      </c>
      <c r="P276" s="1405">
        <f t="shared" ca="1" si="440"/>
        <v>0</v>
      </c>
      <c r="Q276" s="1411">
        <f t="shared" ca="1" si="437"/>
        <v>0</v>
      </c>
      <c r="R276" s="275" cm="1">
        <f t="array" aca="1" ref="R276" ca="1">_xlfn.SWITCH(L276,R$3,O276+S276,P$3,P276,0)</f>
        <v>0</v>
      </c>
      <c r="S276" s="1585" cm="1">
        <f t="array" aca="1" ref="S276" ca="1">IFERROR(INDEX('Abords des bâtiments'!N:N, $F275)*$K276/$M276,0)/$I$1*(1-0.8*N276)</f>
        <v>0</v>
      </c>
      <c r="T276" s="1640">
        <f t="shared" ca="1" si="441"/>
        <v>0</v>
      </c>
      <c r="U276" s="1599" cm="1">
        <f t="array" aca="1" ref="U276" ca="1">IFERROR(INDEX('Abords des bâtiments'!O:O, $F275)*$K276/$M276,0)/$I$1*(1-0.8*N276)</f>
        <v>0</v>
      </c>
      <c r="V276" s="1585" cm="1">
        <f t="array" aca="1" ref="V276" ca="1">IFERROR(INDEX('Abords des bâtiments'!K:K, $F275)*$K276/$M276,0)/$I$1*(1-0.8*N276)</f>
        <v>0</v>
      </c>
      <c r="W276" s="1405">
        <f t="shared" ca="1" si="442"/>
        <v>0</v>
      </c>
      <c r="X276" s="1411">
        <f t="shared" ca="1" si="438"/>
        <v>0</v>
      </c>
      <c r="Y276" s="256" cm="1">
        <f t="array" aca="1" ref="Y276" ca="1">_xlfn.SWITCH(T276,Y$3,V276+Z276,W$3,W276,0)</f>
        <v>0</v>
      </c>
      <c r="Z276" s="1585" cm="1">
        <f t="array" aca="1" ref="Z276" ca="1">IFERROR(INDEX('Abords des bâtiments'!L:L, $F275)*$K276/$M276,0)/$I$1*(1-0.8*N276)</f>
        <v>0</v>
      </c>
      <c r="AA276" s="1460">
        <f t="shared" ca="1" si="443"/>
        <v>0</v>
      </c>
      <c r="AB276" s="1460"/>
    </row>
    <row r="277" spans="2:28" ht="15.75" outlineLevel="1">
      <c r="B277" s="1882"/>
      <c r="C277" s="1868"/>
      <c r="D277" s="1409"/>
      <c r="E277" s="1409"/>
      <c r="F277" s="1402">
        <f t="shared" ca="1" si="444"/>
        <v>2</v>
      </c>
      <c r="G277" s="1402" cm="1">
        <f t="array" aca="1" ref="G277" ca="1">INDEX( 'Abords des bâtiments'!C:C, $F276)</f>
        <v>0</v>
      </c>
      <c r="H277" s="1402" cm="1">
        <f t="array" aca="1" ref="H277" ca="1">INDEX( 'Abords des bâtiments'!D:D, $F276)</f>
        <v>0</v>
      </c>
      <c r="I277" s="1402" cm="1">
        <f t="array" aca="1" ref="I277" ca="1">INDEX( 'Abords des bâtiments'!G:G, $F276)</f>
        <v>0</v>
      </c>
      <c r="J277" s="1402">
        <f ca="1">_xlfn.XLOOKUP($I277,'Baumaterialien Matériaux'!A:A,'Baumaterialien Matériaux'!G:G,0,0)</f>
        <v>0</v>
      </c>
      <c r="K277" s="1402">
        <f t="shared" ca="1" si="439"/>
        <v>0</v>
      </c>
      <c r="L277" s="1409" cm="1">
        <f t="array" aca="1" ref="L277" ca="1">INDEX( 'Abords des bâtiments'!J:J, $F276)</f>
        <v>0</v>
      </c>
      <c r="M277" s="1522" cm="1">
        <f t="array" aca="1" ref="M277" ca="1">INDEX( 'Abords des bâtiments'!H:H, $F276)</f>
        <v>0</v>
      </c>
      <c r="N277" s="1647">
        <f>'Outil détaillé'!E$73</f>
        <v>0</v>
      </c>
      <c r="O277" s="1585" cm="1">
        <f t="array" aca="1" ref="O277" ca="1">IFERROR(INDEX('Abords des bâtiments'!M:M, $F276)*$K277/$M277,0)/$I$1*(1-0.8*N277)</f>
        <v>0</v>
      </c>
      <c r="P277" s="1405">
        <f t="shared" ca="1" si="440"/>
        <v>0</v>
      </c>
      <c r="Q277" s="1411">
        <f t="shared" ca="1" si="437"/>
        <v>0</v>
      </c>
      <c r="R277" s="275" cm="1">
        <f t="array" aca="1" ref="R277" ca="1">_xlfn.SWITCH(L277,R$3,O277+S277,P$3,P277,0)</f>
        <v>0</v>
      </c>
      <c r="S277" s="1585" cm="1">
        <f t="array" aca="1" ref="S277" ca="1">IFERROR(INDEX('Abords des bâtiments'!N:N, $F276)*$K277/$M277,0)/$I$1*(1-0.8*N277)</f>
        <v>0</v>
      </c>
      <c r="T277" s="1640">
        <f t="shared" ca="1" si="441"/>
        <v>0</v>
      </c>
      <c r="U277" s="1599" cm="1">
        <f t="array" aca="1" ref="U277" ca="1">IFERROR(INDEX('Abords des bâtiments'!O:O, $F276)*$K277/$M277,0)/$I$1*(1-0.8*N277)</f>
        <v>0</v>
      </c>
      <c r="V277" s="1585" cm="1">
        <f t="array" aca="1" ref="V277" ca="1">IFERROR(INDEX('Abords des bâtiments'!K:K, $F276)*$K277/$M277,0)/$I$1*(1-0.8*N277)</f>
        <v>0</v>
      </c>
      <c r="W277" s="1405">
        <f t="shared" ca="1" si="442"/>
        <v>0</v>
      </c>
      <c r="X277" s="1411">
        <f t="shared" ca="1" si="438"/>
        <v>0</v>
      </c>
      <c r="Y277" s="256" cm="1">
        <f t="array" aca="1" ref="Y277" ca="1">_xlfn.SWITCH(T277,Y$3,V277+Z277,W$3,W277,0)</f>
        <v>0</v>
      </c>
      <c r="Z277" s="1585" cm="1">
        <f t="array" aca="1" ref="Z277" ca="1">IFERROR(INDEX('Abords des bâtiments'!L:L, $F276)*$K277/$M277,0)/$I$1*(1-0.8*N277)</f>
        <v>0</v>
      </c>
      <c r="AA277" s="1460">
        <f t="shared" ca="1" si="443"/>
        <v>0</v>
      </c>
      <c r="AB277" s="1460"/>
    </row>
    <row r="278" spans="2:28" ht="15.75">
      <c r="B278" s="1882"/>
      <c r="C278" s="1868"/>
      <c r="D278" s="1403" t="str">
        <f>'Outil détaillé'!D74</f>
        <v>Revêtement construit 1</v>
      </c>
      <c r="E278" s="1407" t="str">
        <f>'Outil détaillé'!F74</f>
        <v>Gravier</v>
      </c>
      <c r="F278" s="1407">
        <f ca="1">MATCH(E278, INDIRECT("'Abords des bâtiments'!A1:A500"),0)</f>
        <v>10</v>
      </c>
      <c r="G278" s="1407"/>
      <c r="H278" s="1407"/>
      <c r="I278" s="1407"/>
      <c r="J278" s="1407"/>
      <c r="K278" s="1408">
        <f>'Outil détaillé'!K74</f>
        <v>0</v>
      </c>
      <c r="L278" s="1407"/>
      <c r="M278" s="1526"/>
      <c r="N278" s="1648"/>
      <c r="O278" s="1584">
        <f ca="1">SUM(O279:O283)</f>
        <v>0</v>
      </c>
      <c r="P278" s="1455">
        <f t="shared" ref="P278:U278" ca="1" si="445">SUM(P279:P283)</f>
        <v>0</v>
      </c>
      <c r="Q278" s="1455">
        <f t="shared" ca="1" si="445"/>
        <v>0</v>
      </c>
      <c r="R278" s="1509">
        <f t="shared" ca="1" si="445"/>
        <v>0</v>
      </c>
      <c r="S278" s="1510">
        <f t="shared" ca="1" si="445"/>
        <v>0</v>
      </c>
      <c r="T278" s="1639">
        <f t="shared" ca="1" si="445"/>
        <v>0</v>
      </c>
      <c r="U278" s="1644">
        <f t="shared" ca="1" si="445"/>
        <v>0</v>
      </c>
      <c r="V278" s="1584">
        <f ca="1">SUM(V279:V283)</f>
        <v>0</v>
      </c>
      <c r="W278" s="1455">
        <f t="shared" ref="W278" ca="1" si="446">SUM(W279:W283)</f>
        <v>0</v>
      </c>
      <c r="X278" s="1455">
        <f t="shared" ref="X278" ca="1" si="447">SUM(X279:X283)</f>
        <v>0</v>
      </c>
      <c r="Y278" s="1455">
        <f t="shared" ref="Y278" ca="1" si="448">SUM(Y279:Y283)</f>
        <v>0</v>
      </c>
      <c r="Z278" s="1455">
        <f t="shared" ref="Z278" ca="1" si="449">SUM(Z279:Z283)</f>
        <v>0</v>
      </c>
      <c r="AA278" s="1598">
        <f t="shared" ref="AA278" ca="1" si="450">SUM(AA279:AA283)</f>
        <v>0</v>
      </c>
      <c r="AB278" s="1598"/>
    </row>
    <row r="279" spans="2:28" ht="15.75" outlineLevel="1">
      <c r="B279" s="1882"/>
      <c r="C279" s="1868"/>
      <c r="D279" s="1402"/>
      <c r="E279" s="1409"/>
      <c r="F279" s="1402">
        <f t="shared" ca="1" si="444"/>
        <v>11</v>
      </c>
      <c r="G279" s="1402" t="str" cm="1">
        <f t="array" aca="1" ref="G279" ca="1">INDEX( 'Abords des bâtiments'!C:C, $F278)</f>
        <v>Excavation 40cm</v>
      </c>
      <c r="H279" s="1402" t="str" cm="1">
        <f t="array" aca="1" ref="H279" ca="1">INDEX( 'Abords des bâtiments'!D:D, $F278)</f>
        <v>Excavations mécaniques, en moyenne</v>
      </c>
      <c r="I279" s="1402" t="str" cm="1">
        <f t="array" aca="1" ref="I279" ca="1">INDEX( 'Abords des bâtiments'!G:G, $F278)</f>
        <v>62.001</v>
      </c>
      <c r="J279" s="1402">
        <f ca="1">_xlfn.XLOOKUP($I279,'Baumaterialien Matériaux'!A:A,'Baumaterialien Matériaux'!G:G,0,0)</f>
        <v>0</v>
      </c>
      <c r="K279" s="1402">
        <f ca="1">M279*$K$278</f>
        <v>0</v>
      </c>
      <c r="L279" s="1409" cm="1">
        <f t="array" aca="1" ref="L279" ca="1">INDEX( 'Abords des bâtiments'!J:J, $F278)</f>
        <v>60</v>
      </c>
      <c r="M279" s="1522" cm="1">
        <f t="array" aca="1" ref="M279" ca="1">INDEX( 'Abords des bâtiments'!H:H, $F278)</f>
        <v>0.4</v>
      </c>
      <c r="N279" s="1647">
        <f>'Outil détaillé'!E$74</f>
        <v>0</v>
      </c>
      <c r="O279" s="1585" cm="1">
        <f t="array" aca="1" ref="O279" ca="1">IFERROR(INDEX('Abords des bâtiments'!M:M, $F278)*$K279/$M279,0)/$I$1*(1-0.8*N279)</f>
        <v>0</v>
      </c>
      <c r="P279" s="1405">
        <f ca="1">IF($L279=P$3,$O279+$S279,0)</f>
        <v>0</v>
      </c>
      <c r="Q279" s="1411">
        <f t="shared" ca="1" si="437"/>
        <v>0</v>
      </c>
      <c r="R279" s="275" cm="1">
        <f t="array" aca="1" ref="R279" ca="1">_xlfn.SWITCH(L279,R$3,O279+S279,P$3,P279,0)</f>
        <v>0</v>
      </c>
      <c r="S279" s="1585" cm="1">
        <f t="array" aca="1" ref="S279" ca="1">IFERROR(INDEX('Abords des bâtiments'!N:N, $F278)*$K279/$M279,0)/$I$1*(1-0.8*N279)</f>
        <v>0</v>
      </c>
      <c r="T279" s="1640">
        <f ca="1">SUM(O279:S279)</f>
        <v>0</v>
      </c>
      <c r="U279" s="1599" cm="1">
        <f t="array" aca="1" ref="U279" ca="1">IFERROR(INDEX('Abords des bâtiments'!O:O, $F278)*$K279/$M279,0)/$I$1*(1-0.8*N279)</f>
        <v>0</v>
      </c>
      <c r="V279" s="1585" cm="1">
        <f t="array" aca="1" ref="V279" ca="1">IFERROR(INDEX('Abords des bâtiments'!K:K, $F278)*$K279/$M279,0)/$I$1*(1-0.8*N279)</f>
        <v>0</v>
      </c>
      <c r="W279" s="1405">
        <f ca="1">IF($L279=W$3,$O279+$S279,0)</f>
        <v>0</v>
      </c>
      <c r="X279" s="1411">
        <f t="shared" ca="1" si="438"/>
        <v>0</v>
      </c>
      <c r="Y279" s="256" cm="1">
        <f t="array" aca="1" ref="Y279" ca="1">_xlfn.SWITCH(T279,Y$3,V279+Z279,W$3,W279,0)</f>
        <v>0</v>
      </c>
      <c r="Z279" s="1585" cm="1">
        <f t="array" aca="1" ref="Z279" ca="1">IFERROR(INDEX('Abords des bâtiments'!L:L, $F278)*$K279/$M279,0)/$I$1*(1-0.8*N279)</f>
        <v>0</v>
      </c>
      <c r="AA279" s="1460">
        <f ca="1">SUM(V279:Z279)</f>
        <v>0</v>
      </c>
      <c r="AB279" s="1460"/>
    </row>
    <row r="280" spans="2:28" ht="15.75" outlineLevel="1">
      <c r="B280" s="1882"/>
      <c r="C280" s="1868"/>
      <c r="D280" s="1402"/>
      <c r="E280" s="1409"/>
      <c r="F280" s="1402">
        <f t="shared" ca="1" si="444"/>
        <v>12</v>
      </c>
      <c r="G280" s="1402" t="str" cm="1">
        <f t="array" aca="1" ref="G280" ca="1">INDEX( 'Abords des bâtiments'!C:C, $F279)</f>
        <v>Géotextile 200g/m2</v>
      </c>
      <c r="H280" s="1402" t="str" cm="1">
        <f t="array" aca="1" ref="H280" ca="1">INDEX( 'Abords des bâtiments'!D:D, $F279)</f>
        <v>Polypropylène (PP)</v>
      </c>
      <c r="I280" s="1402" t="str" cm="1">
        <f t="array" aca="1" ref="I280" ca="1">INDEX( 'Abords des bâtiments'!G:G, $F279)</f>
        <v>13.003</v>
      </c>
      <c r="J280" s="1402" t="str">
        <f ca="1">_xlfn.XLOOKUP($I280,'Baumaterialien Matériaux'!A:A,'Baumaterialien Matériaux'!G:G,0,0)</f>
        <v>kg</v>
      </c>
      <c r="K280" s="1402">
        <f t="shared" ref="K280:K283" ca="1" si="451">M280*$K$278</f>
        <v>0</v>
      </c>
      <c r="L280" s="1409" cm="1">
        <f t="array" aca="1" ref="L280" ca="1">INDEX( 'Abords des bâtiments'!J:J, $F279)</f>
        <v>60</v>
      </c>
      <c r="M280" s="1522" cm="1">
        <f t="array" aca="1" ref="M280" ca="1">INDEX( 'Abords des bâtiments'!H:H, $F279)</f>
        <v>0.2</v>
      </c>
      <c r="N280" s="1647">
        <f>'Outil détaillé'!E$74</f>
        <v>0</v>
      </c>
      <c r="O280" s="1585" cm="1">
        <f t="array" aca="1" ref="O280" ca="1">IFERROR(INDEX('Abords des bâtiments'!M:M, $F279)*$K280/$M280,0)/$I$1*(1-0.8*N280)</f>
        <v>0</v>
      </c>
      <c r="P280" s="1405">
        <f t="shared" ref="P280:P283" ca="1" si="452">IF($L280=P$3,$O280+$S280,0)</f>
        <v>0</v>
      </c>
      <c r="Q280" s="1411">
        <f t="shared" ca="1" si="437"/>
        <v>0</v>
      </c>
      <c r="R280" s="275" cm="1">
        <f t="array" aca="1" ref="R280" ca="1">_xlfn.SWITCH(L280,R$3,O280+S280,P$3,P280,0)</f>
        <v>0</v>
      </c>
      <c r="S280" s="1585" cm="1">
        <f t="array" aca="1" ref="S280" ca="1">IFERROR(INDEX('Abords des bâtiments'!N:N, $F279)*$K280/$M280,0)/$I$1*(1-0.8*N280)</f>
        <v>0</v>
      </c>
      <c r="T280" s="1640">
        <f t="shared" ref="T280:T283" ca="1" si="453">SUM(O280:S280)</f>
        <v>0</v>
      </c>
      <c r="U280" s="1599" cm="1">
        <f t="array" aca="1" ref="U280" ca="1">IFERROR(INDEX('Abords des bâtiments'!O:O, $F279)*$K280/$M280,0)/$I$1*(1-0.8*N280)</f>
        <v>0</v>
      </c>
      <c r="V280" s="1585" cm="1">
        <f t="array" aca="1" ref="V280" ca="1">IFERROR(INDEX('Abords des bâtiments'!K:K, $F279)*$K280/$M280,0)/$I$1*(1-0.8*N280)</f>
        <v>0</v>
      </c>
      <c r="W280" s="1405">
        <f t="shared" ref="W280:W283" ca="1" si="454">IF($L280=W$3,$O280+$S280,0)</f>
        <v>0</v>
      </c>
      <c r="X280" s="1411">
        <f t="shared" ca="1" si="438"/>
        <v>0</v>
      </c>
      <c r="Y280" s="256" cm="1">
        <f t="array" aca="1" ref="Y280" ca="1">_xlfn.SWITCH(T280,Y$3,V280+Z280,W$3,W280,0)</f>
        <v>0</v>
      </c>
      <c r="Z280" s="1585" cm="1">
        <f t="array" aca="1" ref="Z280" ca="1">IFERROR(INDEX('Abords des bâtiments'!L:L, $F279)*$K280/$M280,0)/$I$1*(1-0.8*N280)</f>
        <v>0</v>
      </c>
      <c r="AA280" s="1460">
        <f t="shared" ref="AA280:AA283" ca="1" si="455">SUM(V280:Z280)</f>
        <v>0</v>
      </c>
      <c r="AB280" s="1460"/>
    </row>
    <row r="281" spans="2:28" ht="15.75" outlineLevel="1">
      <c r="B281" s="1882"/>
      <c r="C281" s="1868"/>
      <c r="D281" s="1402"/>
      <c r="E281" s="1409"/>
      <c r="F281" s="1402">
        <f t="shared" ca="1" si="444"/>
        <v>13</v>
      </c>
      <c r="G281" s="1402" t="str" cm="1">
        <f t="array" aca="1" ref="G281" ca="1">INDEX( 'Abords des bâtiments'!C:C, $F280)</f>
        <v>Gravier 1450kg/m3 35+5cm</v>
      </c>
      <c r="H281" s="1402" t="str" cm="1">
        <f t="array" aca="1" ref="H281" ca="1">INDEX( 'Abords des bâtiments'!D:D, $F280)</f>
        <v>Gravier concassé 1</v>
      </c>
      <c r="I281" s="1402" t="str" cm="1">
        <f t="array" aca="1" ref="I281" ca="1">INDEX( 'Abords des bâtiments'!G:G, $F280)</f>
        <v>03.011</v>
      </c>
      <c r="J281" s="1402" t="str">
        <f ca="1">_xlfn.XLOOKUP($I281,'Baumaterialien Matériaux'!A:A,'Baumaterialien Matériaux'!G:G,0,0)</f>
        <v>kg</v>
      </c>
      <c r="K281" s="1402">
        <f t="shared" ca="1" si="451"/>
        <v>0</v>
      </c>
      <c r="L281" s="1409" cm="1">
        <f t="array" aca="1" ref="L281" ca="1">INDEX( 'Abords des bâtiments'!J:J, $F280)</f>
        <v>60</v>
      </c>
      <c r="M281" s="1522" cm="1">
        <f t="array" aca="1" ref="M281" ca="1">INDEX( 'Abords des bâtiments'!H:H, $F280)</f>
        <v>580</v>
      </c>
      <c r="N281" s="1647">
        <f>'Outil détaillé'!E$74</f>
        <v>0</v>
      </c>
      <c r="O281" s="1585" cm="1">
        <f t="array" aca="1" ref="O281" ca="1">IFERROR(INDEX('Abords des bâtiments'!M:M, $F280)*$K281/$M281,0)/$I$1*(1-0.8*N281)</f>
        <v>0</v>
      </c>
      <c r="P281" s="1405">
        <f t="shared" ca="1" si="452"/>
        <v>0</v>
      </c>
      <c r="Q281" s="1411">
        <f t="shared" ca="1" si="437"/>
        <v>0</v>
      </c>
      <c r="R281" s="275" cm="1">
        <f t="array" aca="1" ref="R281" ca="1">_xlfn.SWITCH(L281,R$3,O281+S281,P$3,P281,0)</f>
        <v>0</v>
      </c>
      <c r="S281" s="1585" cm="1">
        <f t="array" aca="1" ref="S281" ca="1">IFERROR(INDEX('Abords des bâtiments'!N:N, $F280)*$K281/$M281,0)/$I$1*(1-0.8*N281)</f>
        <v>0</v>
      </c>
      <c r="T281" s="1640">
        <f t="shared" ca="1" si="453"/>
        <v>0</v>
      </c>
      <c r="U281" s="1599" cm="1">
        <f t="array" aca="1" ref="U281" ca="1">IFERROR(INDEX('Abords des bâtiments'!O:O, $F280)*$K281/$M281,0)/$I$1*(1-0.8*N281)</f>
        <v>0</v>
      </c>
      <c r="V281" s="1585" cm="1">
        <f t="array" aca="1" ref="V281" ca="1">IFERROR(INDEX('Abords des bâtiments'!K:K, $F280)*$K281/$M281,0)/$I$1*(1-0.8*N281)</f>
        <v>0</v>
      </c>
      <c r="W281" s="1405">
        <f t="shared" ca="1" si="454"/>
        <v>0</v>
      </c>
      <c r="X281" s="1411">
        <f t="shared" ca="1" si="438"/>
        <v>0</v>
      </c>
      <c r="Y281" s="256" cm="1">
        <f t="array" aca="1" ref="Y281" ca="1">_xlfn.SWITCH(T281,Y$3,V281+Z281,W$3,W281,0)</f>
        <v>0</v>
      </c>
      <c r="Z281" s="1585" cm="1">
        <f t="array" aca="1" ref="Z281" ca="1">IFERROR(INDEX('Abords des bâtiments'!L:L, $F280)*$K281/$M281,0)/$I$1*(1-0.8*N281)</f>
        <v>0</v>
      </c>
      <c r="AA281" s="1460">
        <f t="shared" ca="1" si="455"/>
        <v>0</v>
      </c>
      <c r="AB281" s="1460"/>
    </row>
    <row r="282" spans="2:28" ht="15.75" outlineLevel="1">
      <c r="B282" s="1882"/>
      <c r="C282" s="1868"/>
      <c r="D282" s="1402"/>
      <c r="E282" s="1409"/>
      <c r="F282" s="1402">
        <f t="shared" ca="1" si="444"/>
        <v>2</v>
      </c>
      <c r="G282" s="1402" cm="1">
        <f t="array" aca="1" ref="G282" ca="1">INDEX( 'Abords des bâtiments'!C:C, $F281)</f>
        <v>0</v>
      </c>
      <c r="H282" s="1402" cm="1">
        <f t="array" aca="1" ref="H282" ca="1">INDEX( 'Abords des bâtiments'!D:D, $F281)</f>
        <v>0</v>
      </c>
      <c r="I282" s="1402" cm="1">
        <f t="array" aca="1" ref="I282" ca="1">INDEX( 'Abords des bâtiments'!G:G, $F281)</f>
        <v>0</v>
      </c>
      <c r="J282" s="1402">
        <f ca="1">_xlfn.XLOOKUP($I282,'Baumaterialien Matériaux'!A:A,'Baumaterialien Matériaux'!G:G,0,0)</f>
        <v>0</v>
      </c>
      <c r="K282" s="1402">
        <f t="shared" ca="1" si="451"/>
        <v>0</v>
      </c>
      <c r="L282" s="1409" cm="1">
        <f t="array" aca="1" ref="L282" ca="1">INDEX( 'Abords des bâtiments'!J:J, $F281)</f>
        <v>0</v>
      </c>
      <c r="M282" s="1522" cm="1">
        <f t="array" aca="1" ref="M282" ca="1">INDEX( 'Abords des bâtiments'!H:H, $F281)</f>
        <v>0</v>
      </c>
      <c r="N282" s="1647">
        <f>'Outil détaillé'!E$74</f>
        <v>0</v>
      </c>
      <c r="O282" s="1585" cm="1">
        <f t="array" aca="1" ref="O282" ca="1">IFERROR(INDEX('Abords des bâtiments'!M:M, $F281)*$K282/$M282,0)/$I$1*(1-0.8*N282)</f>
        <v>0</v>
      </c>
      <c r="P282" s="1405">
        <f t="shared" ca="1" si="452"/>
        <v>0</v>
      </c>
      <c r="Q282" s="1411">
        <f t="shared" ca="1" si="437"/>
        <v>0</v>
      </c>
      <c r="R282" s="275" cm="1">
        <f t="array" aca="1" ref="R282" ca="1">_xlfn.SWITCH(L282,R$3,O282+S282,P$3,P282,0)</f>
        <v>0</v>
      </c>
      <c r="S282" s="1585" cm="1">
        <f t="array" aca="1" ref="S282" ca="1">IFERROR(INDEX('Abords des bâtiments'!N:N, $F281)*$K282/$M282,0)/$I$1*(1-0.8*N282)</f>
        <v>0</v>
      </c>
      <c r="T282" s="1640">
        <f t="shared" ca="1" si="453"/>
        <v>0</v>
      </c>
      <c r="U282" s="1599" cm="1">
        <f t="array" aca="1" ref="U282" ca="1">IFERROR(INDEX('Abords des bâtiments'!O:O, $F281)*$K282/$M282,0)/$I$1*(1-0.8*N282)</f>
        <v>0</v>
      </c>
      <c r="V282" s="1585" cm="1">
        <f t="array" aca="1" ref="V282" ca="1">IFERROR(INDEX('Abords des bâtiments'!K:K, $F281)*$K282/$M282,0)/$I$1*(1-0.8*N282)</f>
        <v>0</v>
      </c>
      <c r="W282" s="1405">
        <f t="shared" ca="1" si="454"/>
        <v>0</v>
      </c>
      <c r="X282" s="1411">
        <f t="shared" ca="1" si="438"/>
        <v>0</v>
      </c>
      <c r="Y282" s="256" cm="1">
        <f t="array" aca="1" ref="Y282" ca="1">_xlfn.SWITCH(T282,Y$3,V282+Z282,W$3,W282,0)</f>
        <v>0</v>
      </c>
      <c r="Z282" s="1585" cm="1">
        <f t="array" aca="1" ref="Z282" ca="1">IFERROR(INDEX('Abords des bâtiments'!L:L, $F281)*$K282/$M282,0)/$I$1*(1-0.8*N282)</f>
        <v>0</v>
      </c>
      <c r="AA282" s="1460">
        <f t="shared" ca="1" si="455"/>
        <v>0</v>
      </c>
      <c r="AB282" s="1460"/>
    </row>
    <row r="283" spans="2:28" ht="15.75" outlineLevel="1">
      <c r="B283" s="1882"/>
      <c r="C283" s="1868"/>
      <c r="D283" s="1403"/>
      <c r="E283" s="1409"/>
      <c r="F283" s="1402">
        <f t="shared" ca="1" si="444"/>
        <v>2</v>
      </c>
      <c r="G283" s="1402" cm="1">
        <f t="array" aca="1" ref="G283" ca="1">INDEX( 'Abords des bâtiments'!C:C, $F282)</f>
        <v>0</v>
      </c>
      <c r="H283" s="1402" cm="1">
        <f t="array" aca="1" ref="H283" ca="1">INDEX( 'Abords des bâtiments'!D:D, $F282)</f>
        <v>0</v>
      </c>
      <c r="I283" s="1402" cm="1">
        <f t="array" aca="1" ref="I283" ca="1">INDEX( 'Abords des bâtiments'!G:G, $F282)</f>
        <v>0</v>
      </c>
      <c r="J283" s="1402">
        <f ca="1">_xlfn.XLOOKUP($I283,'Baumaterialien Matériaux'!A:A,'Baumaterialien Matériaux'!G:G,0,0)</f>
        <v>0</v>
      </c>
      <c r="K283" s="1402">
        <f t="shared" ca="1" si="451"/>
        <v>0</v>
      </c>
      <c r="L283" s="1409" cm="1">
        <f t="array" aca="1" ref="L283" ca="1">INDEX( 'Abords des bâtiments'!J:J, $F282)</f>
        <v>0</v>
      </c>
      <c r="M283" s="1522" cm="1">
        <f t="array" aca="1" ref="M283" ca="1">INDEX( 'Abords des bâtiments'!H:H, $F282)</f>
        <v>0</v>
      </c>
      <c r="N283" s="1647">
        <f>'Outil détaillé'!E$74</f>
        <v>0</v>
      </c>
      <c r="O283" s="1585" cm="1">
        <f t="array" aca="1" ref="O283" ca="1">IFERROR(INDEX('Abords des bâtiments'!M:M, $F282)*$K283/$M283,0)/$I$1*(1-0.8*N283)</f>
        <v>0</v>
      </c>
      <c r="P283" s="1405">
        <f t="shared" ca="1" si="452"/>
        <v>0</v>
      </c>
      <c r="Q283" s="1411">
        <f t="shared" ca="1" si="437"/>
        <v>0</v>
      </c>
      <c r="R283" s="275" cm="1">
        <f t="array" aca="1" ref="R283" ca="1">_xlfn.SWITCH(L283,R$3,O283+S283,P$3,P283,0)</f>
        <v>0</v>
      </c>
      <c r="S283" s="1585" cm="1">
        <f t="array" aca="1" ref="S283" ca="1">IFERROR(INDEX('Abords des bâtiments'!N:N, $F282)*$K283/$M283,0)/$I$1*(1-0.8*N283)</f>
        <v>0</v>
      </c>
      <c r="T283" s="1640">
        <f t="shared" ca="1" si="453"/>
        <v>0</v>
      </c>
      <c r="U283" s="1599" cm="1">
        <f t="array" aca="1" ref="U283" ca="1">IFERROR(INDEX('Abords des bâtiments'!O:O, $F282)*$K283/$M283,0)/$I$1*(1-0.8*N283)</f>
        <v>0</v>
      </c>
      <c r="V283" s="1585" cm="1">
        <f t="array" aca="1" ref="V283" ca="1">IFERROR(INDEX('Abords des bâtiments'!K:K, $F282)*$K283/$M283,0)/$I$1*(1-0.8*N283)</f>
        <v>0</v>
      </c>
      <c r="W283" s="1405">
        <f t="shared" ca="1" si="454"/>
        <v>0</v>
      </c>
      <c r="X283" s="1411">
        <f t="shared" ca="1" si="438"/>
        <v>0</v>
      </c>
      <c r="Y283" s="256" cm="1">
        <f t="array" aca="1" ref="Y283" ca="1">_xlfn.SWITCH(T283,Y$3,V283+Z283,W$3,W283,0)</f>
        <v>0</v>
      </c>
      <c r="Z283" s="1585" cm="1">
        <f t="array" aca="1" ref="Z283" ca="1">IFERROR(INDEX('Abords des bâtiments'!L:L, $F282)*$K283/$M283,0)/$I$1*(1-0.8*N283)</f>
        <v>0</v>
      </c>
      <c r="AA283" s="1460">
        <f t="shared" ca="1" si="455"/>
        <v>0</v>
      </c>
      <c r="AB283" s="1460"/>
    </row>
    <row r="284" spans="2:28" ht="16.5" thickBot="1">
      <c r="B284" s="1882"/>
      <c r="C284" s="1868"/>
      <c r="D284" s="1403" t="str">
        <f>'Outil détaillé'!D75</f>
        <v>Revêtement construit 2</v>
      </c>
      <c r="E284" s="1407" t="str">
        <f>'Outil détaillé'!F75</f>
        <v>Béton</v>
      </c>
      <c r="F284" s="1407">
        <f ca="1">MATCH(E284, INDIRECT("'Abords des bâtiments'!A1:A500"),0)</f>
        <v>15</v>
      </c>
      <c r="G284" s="1407"/>
      <c r="H284" s="1407"/>
      <c r="I284" s="1407"/>
      <c r="J284" s="1407"/>
      <c r="K284" s="1408">
        <f>'Outil détaillé'!K75</f>
        <v>0</v>
      </c>
      <c r="L284" s="1407"/>
      <c r="M284" s="1526"/>
      <c r="N284" s="1649"/>
      <c r="O284" s="1510">
        <f ca="1">SUM(O285:O289)</f>
        <v>0</v>
      </c>
      <c r="P284" s="1455">
        <f t="shared" ref="P284:U284" ca="1" si="456">SUM(P285:P289)</f>
        <v>0</v>
      </c>
      <c r="Q284" s="1455">
        <f t="shared" ca="1" si="456"/>
        <v>0</v>
      </c>
      <c r="R284" s="1509">
        <f t="shared" ca="1" si="456"/>
        <v>0</v>
      </c>
      <c r="S284" s="1510">
        <f t="shared" ca="1" si="456"/>
        <v>0</v>
      </c>
      <c r="T284" s="1639">
        <f t="shared" ca="1" si="456"/>
        <v>0</v>
      </c>
      <c r="U284" s="1644">
        <f t="shared" ca="1" si="456"/>
        <v>0</v>
      </c>
      <c r="V284" s="1600">
        <f ca="1">SUM(V285:V289)</f>
        <v>0</v>
      </c>
      <c r="W284" s="1601">
        <f t="shared" ref="W284" ca="1" si="457">SUM(W285:W289)</f>
        <v>0</v>
      </c>
      <c r="X284" s="1601">
        <f t="shared" ref="X284" ca="1" si="458">SUM(X285:X289)</f>
        <v>0</v>
      </c>
      <c r="Y284" s="1601">
        <f t="shared" ref="Y284" ca="1" si="459">SUM(Y285:Y289)</f>
        <v>0</v>
      </c>
      <c r="Z284" s="1601">
        <f t="shared" ref="Z284" ca="1" si="460">SUM(Z285:Z289)</f>
        <v>0</v>
      </c>
      <c r="AA284" s="1602">
        <f t="shared" ref="AA284" ca="1" si="461">SUM(AA285:AA289)</f>
        <v>0</v>
      </c>
      <c r="AB284" s="1602"/>
    </row>
    <row r="285" spans="2:28" ht="15.75" outlineLevel="1">
      <c r="B285" s="1882"/>
      <c r="C285" s="1868"/>
      <c r="D285" s="1403"/>
      <c r="E285" s="1409"/>
      <c r="F285" s="1402">
        <f t="shared" ca="1" si="444"/>
        <v>16</v>
      </c>
      <c r="G285" s="1402" t="str" cm="1">
        <f t="array" aca="1" ref="G285" ca="1">INDEX( 'Abords des bâtiments'!C:C, $F284)</f>
        <v>Excavation 20cm</v>
      </c>
      <c r="H285" s="1402" t="str" cm="1">
        <f t="array" aca="1" ref="H285" ca="1">INDEX( 'Abords des bâtiments'!D:D, $F284)</f>
        <v>Excavations mécaniques, en moyenne</v>
      </c>
      <c r="I285" s="1402" t="str" cm="1">
        <f t="array" aca="1" ref="I285" ca="1">INDEX( 'Abords des bâtiments'!G:G, $F284)</f>
        <v>62.001</v>
      </c>
      <c r="J285" s="1402">
        <f ca="1">_xlfn.XLOOKUP($I285,'Baumaterialien Matériaux'!A:A,'Baumaterialien Matériaux'!G:G,0,0)</f>
        <v>0</v>
      </c>
      <c r="K285" s="1402">
        <f ca="1">M285*$K$284</f>
        <v>0</v>
      </c>
      <c r="L285" s="1409" cm="1">
        <f t="array" aca="1" ref="L285" ca="1">INDEX( 'Abords des bâtiments'!J:J, $F284)</f>
        <v>60</v>
      </c>
      <c r="M285" s="1522" cm="1">
        <f t="array" aca="1" ref="M285" ca="1">INDEX( 'Abords des bâtiments'!H:H, $F284)</f>
        <v>0.2</v>
      </c>
      <c r="N285" s="1647">
        <f>'Outil détaillé'!E$75</f>
        <v>0</v>
      </c>
      <c r="O285" s="1597" cm="1">
        <f t="array" aca="1" ref="O285" ca="1">IFERROR(INDEX('Abords des bâtiments'!M:M, $F284)*$K285/$M285,0)/$I$1*(1-0.8*N285)</f>
        <v>0</v>
      </c>
      <c r="P285" s="1595">
        <f ca="1">IF($L285=P$3,$O285+$S285,0)</f>
        <v>0</v>
      </c>
      <c r="Q285" s="1596">
        <f t="shared" ca="1" si="437"/>
        <v>0</v>
      </c>
      <c r="R285" s="275" cm="1">
        <f t="array" aca="1" ref="R285" ca="1">_xlfn.SWITCH(L285,R$3,O285+S285,P$3,P285,0)</f>
        <v>0</v>
      </c>
      <c r="S285" s="1597" cm="1">
        <f t="array" aca="1" ref="S285" ca="1">IFERROR(INDEX('Abords des bâtiments'!N:N, $F284)*$K285/$M285,0)/$I$1*(1-0.8*N285)</f>
        <v>0</v>
      </c>
      <c r="T285" s="1641">
        <f ca="1">SUM(O285:S285)</f>
        <v>0</v>
      </c>
      <c r="U285" s="1636" cm="1">
        <f t="array" aca="1" ref="U285" ca="1">IFERROR(INDEX('Abords des bâtiments'!O:O, $F284)*$K285/$M285,0)/$I$1*(1-0.8*N285)</f>
        <v>0</v>
      </c>
      <c r="V285" s="1597" cm="1">
        <f t="array" aca="1" ref="V285" ca="1">IFERROR(INDEX('Abords des bâtiments'!K:K, $F284)*$K285/$M285,0)/$I$1*(1-0.8*N285)</f>
        <v>0</v>
      </c>
      <c r="W285" s="1595">
        <f ca="1">IF($L285=W$3,$O285+$S285,0)</f>
        <v>0</v>
      </c>
      <c r="X285" s="1596">
        <f t="shared" ca="1" si="438"/>
        <v>0</v>
      </c>
      <c r="Y285" s="256" cm="1">
        <f t="array" aca="1" ref="Y285" ca="1">_xlfn.SWITCH(T285,Y$3,V285+Z285,W$3,W285,0)</f>
        <v>0</v>
      </c>
      <c r="Z285" s="1597" cm="1">
        <f t="array" aca="1" ref="Z285" ca="1">IFERROR(INDEX('Abords des bâtiments'!L:L, $F284)*$K285/$M285,0)/$I$1*(1-0.8*N285)</f>
        <v>0</v>
      </c>
      <c r="AA285" s="1662">
        <f ca="1">SUM(V285:Z285)</f>
        <v>0</v>
      </c>
      <c r="AB285" s="1662"/>
    </row>
    <row r="286" spans="2:28" ht="15.75" outlineLevel="1">
      <c r="B286" s="1882"/>
      <c r="C286" s="1868"/>
      <c r="D286" s="1403"/>
      <c r="E286" s="1409"/>
      <c r="F286" s="1402">
        <f t="shared" ca="1" si="444"/>
        <v>17</v>
      </c>
      <c r="G286" s="1402" t="str" cm="1">
        <f t="array" aca="1" ref="G286" ca="1">INDEX( 'Abords des bâtiments'!C:C, $F285)</f>
        <v>Gravier 20 cm</v>
      </c>
      <c r="H286" s="1402" t="str" cm="1">
        <f t="array" aca="1" ref="H286" ca="1">INDEX( 'Abords des bâtiments'!D:D, $F285)</f>
        <v>Gravier concassé 1</v>
      </c>
      <c r="I286" s="1402" t="str" cm="1">
        <f t="array" aca="1" ref="I286" ca="1">INDEX( 'Abords des bâtiments'!G:G, $F285)</f>
        <v>03.011</v>
      </c>
      <c r="J286" s="1402" t="str">
        <f ca="1">_xlfn.XLOOKUP($I286,'Baumaterialien Matériaux'!A:A,'Baumaterialien Matériaux'!G:G,0,0)</f>
        <v>kg</v>
      </c>
      <c r="K286" s="1402">
        <f t="shared" ref="K286:K289" ca="1" si="462">M286*$K$284</f>
        <v>0</v>
      </c>
      <c r="L286" s="1409" cm="1">
        <f t="array" aca="1" ref="L286" ca="1">INDEX( 'Abords des bâtiments'!J:J, $F285)</f>
        <v>60</v>
      </c>
      <c r="M286" s="1522" cm="1">
        <f t="array" aca="1" ref="M286" ca="1">INDEX( 'Abords des bâtiments'!H:H, $F285)</f>
        <v>300</v>
      </c>
      <c r="N286" s="1647">
        <f>'Outil détaillé'!E$75</f>
        <v>0</v>
      </c>
      <c r="O286" s="1585" cm="1">
        <f t="array" aca="1" ref="O286" ca="1">IFERROR(INDEX('Abords des bâtiments'!M:M, $F285)*$K286/$M286,0)/$I$1*(1-0.8*N286)</f>
        <v>0</v>
      </c>
      <c r="P286" s="1405">
        <f t="shared" ref="P286:P289" ca="1" si="463">IF($L286=P$3,$O286+$S286,0)</f>
        <v>0</v>
      </c>
      <c r="Q286" s="1411">
        <f t="shared" ca="1" si="437"/>
        <v>0</v>
      </c>
      <c r="R286" s="275" cm="1">
        <f t="array" aca="1" ref="R286" ca="1">_xlfn.SWITCH(L286,R$3,O286+S286,P$3,P286,0)</f>
        <v>0</v>
      </c>
      <c r="S286" s="1585" cm="1">
        <f t="array" aca="1" ref="S286" ca="1">IFERROR(INDEX('Abords des bâtiments'!N:N, $F285)*$K286/$M286,0)/$I$1*(1-0.8*N286)</f>
        <v>0</v>
      </c>
      <c r="T286" s="1640">
        <f t="shared" ref="T286:T289" ca="1" si="464">SUM(O286:S286)</f>
        <v>0</v>
      </c>
      <c r="U286" s="1599" cm="1">
        <f t="array" aca="1" ref="U286" ca="1">IFERROR(INDEX('Abords des bâtiments'!O:O, $F285)*$K286/$M286,0)/$I$1*(1-0.8*N286)</f>
        <v>0</v>
      </c>
      <c r="V286" s="1585" cm="1">
        <f t="array" aca="1" ref="V286" ca="1">IFERROR(INDEX('Abords des bâtiments'!K:K, $F285)*$K286/$M286,0)/$I$1*(1-0.8*N286)</f>
        <v>0</v>
      </c>
      <c r="W286" s="1405">
        <f t="shared" ref="W286:W289" ca="1" si="465">IF($L286=W$3,$O286+$S286,0)</f>
        <v>0</v>
      </c>
      <c r="X286" s="1411">
        <f t="shared" ca="1" si="438"/>
        <v>0</v>
      </c>
      <c r="Y286" s="256" cm="1">
        <f t="array" aca="1" ref="Y286" ca="1">_xlfn.SWITCH(T286,Y$3,V286+Z286,W$3,W286,0)</f>
        <v>0</v>
      </c>
      <c r="Z286" s="1585" cm="1">
        <f t="array" aca="1" ref="Z286" ca="1">IFERROR(INDEX('Abords des bâtiments'!L:L, $F285)*$K286/$M286,0)/$I$1*(1-0.8*N286)</f>
        <v>0</v>
      </c>
      <c r="AA286" s="1460">
        <f t="shared" ref="AA286:AA289" ca="1" si="466">SUM(V286:Z286)</f>
        <v>0</v>
      </c>
      <c r="AB286" s="1460"/>
    </row>
    <row r="287" spans="2:28" ht="15.75" outlineLevel="1">
      <c r="B287" s="1882"/>
      <c r="C287" s="1868"/>
      <c r="D287" s="1403"/>
      <c r="E287" s="1409"/>
      <c r="F287" s="1402">
        <f t="shared" ca="1" si="444"/>
        <v>18</v>
      </c>
      <c r="G287" s="1402" t="str" cm="1">
        <f t="array" aca="1" ref="G287" ca="1">INDEX( 'Abords des bâtiments'!C:C, $F286)</f>
        <v>Béton 2300kg/m3  15cm</v>
      </c>
      <c r="H287" s="1402" t="str" cm="1">
        <f t="array" aca="1" ref="H287" ca="1">INDEX( 'Abords des bâtiments'!D:D, $F286)</f>
        <v>Béton pour travaux de génie civil (sans armature)</v>
      </c>
      <c r="I287" s="1402" t="str" cm="1">
        <f t="array" aca="1" ref="I287" ca="1">INDEX( 'Abords des bâtiments'!G:G, $F286)</f>
        <v>01.003</v>
      </c>
      <c r="J287" s="1402" t="str">
        <f ca="1">_xlfn.XLOOKUP($I287,'Baumaterialien Matériaux'!A:A,'Baumaterialien Matériaux'!G:G,0,0)</f>
        <v>kg</v>
      </c>
      <c r="K287" s="1402">
        <f t="shared" ca="1" si="462"/>
        <v>0</v>
      </c>
      <c r="L287" s="1409" cm="1">
        <f t="array" aca="1" ref="L287" ca="1">INDEX( 'Abords des bâtiments'!J:J, $F286)</f>
        <v>60</v>
      </c>
      <c r="M287" s="1522" cm="1">
        <f t="array" aca="1" ref="M287" ca="1">INDEX( 'Abords des bâtiments'!H:H, $F286)</f>
        <v>345</v>
      </c>
      <c r="N287" s="1647">
        <f>'Outil détaillé'!E$75</f>
        <v>0</v>
      </c>
      <c r="O287" s="1585" cm="1">
        <f t="array" aca="1" ref="O287" ca="1">IFERROR(INDEX('Abords des bâtiments'!M:M, $F286)*$K287/$M287,0)/$I$1*(1-0.8*N287)</f>
        <v>0</v>
      </c>
      <c r="P287" s="1405">
        <f t="shared" ca="1" si="463"/>
        <v>0</v>
      </c>
      <c r="Q287" s="1411">
        <f t="shared" ca="1" si="437"/>
        <v>0</v>
      </c>
      <c r="R287" s="275" cm="1">
        <f t="array" aca="1" ref="R287" ca="1">_xlfn.SWITCH(L287,R$3,O287+S287,P$3,P287,0)</f>
        <v>0</v>
      </c>
      <c r="S287" s="1585" cm="1">
        <f t="array" aca="1" ref="S287" ca="1">IFERROR(INDEX('Abords des bâtiments'!N:N, $F286)*$K287/$M287,0)/$I$1*(1-0.8*N287)</f>
        <v>0</v>
      </c>
      <c r="T287" s="1640">
        <f t="shared" ca="1" si="464"/>
        <v>0</v>
      </c>
      <c r="U287" s="1599" cm="1">
        <f t="array" aca="1" ref="U287" ca="1">IFERROR(INDEX('Abords des bâtiments'!O:O, $F286)*$K287/$M287,0)/$I$1*(1-0.8*N287)</f>
        <v>0</v>
      </c>
      <c r="V287" s="1585" cm="1">
        <f t="array" aca="1" ref="V287" ca="1">IFERROR(INDEX('Abords des bâtiments'!K:K, $F286)*$K287/$M287,0)/$I$1*(1-0.8*N287)</f>
        <v>0</v>
      </c>
      <c r="W287" s="1405">
        <f t="shared" ca="1" si="465"/>
        <v>0</v>
      </c>
      <c r="X287" s="1411">
        <f t="shared" ca="1" si="438"/>
        <v>0</v>
      </c>
      <c r="Y287" s="256" cm="1">
        <f t="array" aca="1" ref="Y287" ca="1">_xlfn.SWITCH(T287,Y$3,V287+Z287,W$3,W287,0)</f>
        <v>0</v>
      </c>
      <c r="Z287" s="1585" cm="1">
        <f t="array" aca="1" ref="Z287" ca="1">IFERROR(INDEX('Abords des bâtiments'!L:L, $F286)*$K287/$M287,0)/$I$1*(1-0.8*N287)</f>
        <v>0</v>
      </c>
      <c r="AA287" s="1460">
        <f t="shared" ca="1" si="466"/>
        <v>0</v>
      </c>
      <c r="AB287" s="1460"/>
    </row>
    <row r="288" spans="2:28" ht="15.75" outlineLevel="1">
      <c r="B288" s="1882"/>
      <c r="C288" s="1868"/>
      <c r="D288" s="1403"/>
      <c r="E288" s="1409"/>
      <c r="F288" s="1402">
        <f t="shared" ca="1" si="444"/>
        <v>2</v>
      </c>
      <c r="G288" s="1402" cm="1">
        <f t="array" aca="1" ref="G288" ca="1">INDEX( 'Abords des bâtiments'!C:C, $F287)</f>
        <v>0</v>
      </c>
      <c r="H288" s="1402" cm="1">
        <f t="array" aca="1" ref="H288" ca="1">INDEX( 'Abords des bâtiments'!D:D, $F287)</f>
        <v>0</v>
      </c>
      <c r="I288" s="1402" cm="1">
        <f t="array" aca="1" ref="I288" ca="1">INDEX( 'Abords des bâtiments'!G:G, $F287)</f>
        <v>0</v>
      </c>
      <c r="J288" s="1402">
        <f ca="1">_xlfn.XLOOKUP($I288,'Baumaterialien Matériaux'!A:A,'Baumaterialien Matériaux'!G:G,0,0)</f>
        <v>0</v>
      </c>
      <c r="K288" s="1402">
        <f t="shared" ca="1" si="462"/>
        <v>0</v>
      </c>
      <c r="L288" s="1409" cm="1">
        <f t="array" aca="1" ref="L288" ca="1">INDEX( 'Abords des bâtiments'!J:J, $F287)</f>
        <v>0</v>
      </c>
      <c r="M288" s="1522" cm="1">
        <f t="array" aca="1" ref="M288" ca="1">INDEX( 'Abords des bâtiments'!H:H, $F287)</f>
        <v>0</v>
      </c>
      <c r="N288" s="1647">
        <f>'Outil détaillé'!E$75</f>
        <v>0</v>
      </c>
      <c r="O288" s="1585" cm="1">
        <f t="array" aca="1" ref="O288" ca="1">IFERROR(INDEX('Abords des bâtiments'!M:M, $F287)*$K288/$M288,0)/$I$1*(1-0.8*N288)</f>
        <v>0</v>
      </c>
      <c r="P288" s="1405">
        <f t="shared" ca="1" si="463"/>
        <v>0</v>
      </c>
      <c r="Q288" s="1411">
        <f t="shared" ca="1" si="437"/>
        <v>0</v>
      </c>
      <c r="R288" s="275" cm="1">
        <f t="array" aca="1" ref="R288" ca="1">_xlfn.SWITCH(L288,R$3,O288+S288,P$3,P288,0)</f>
        <v>0</v>
      </c>
      <c r="S288" s="1585" cm="1">
        <f t="array" aca="1" ref="S288" ca="1">IFERROR(INDEX('Abords des bâtiments'!N:N, $F287)*$K288/$M288,0)/$I$1*(1-0.8*N288)</f>
        <v>0</v>
      </c>
      <c r="T288" s="1640">
        <f t="shared" ca="1" si="464"/>
        <v>0</v>
      </c>
      <c r="U288" s="1599" cm="1">
        <f t="array" aca="1" ref="U288" ca="1">IFERROR(INDEX('Abords des bâtiments'!O:O, $F287)*$K288/$M288,0)/$I$1*(1-0.8*N288)</f>
        <v>0</v>
      </c>
      <c r="V288" s="1585" cm="1">
        <f t="array" aca="1" ref="V288" ca="1">IFERROR(INDEX('Abords des bâtiments'!K:K, $F287)*$K288/$M288,0)/$I$1*(1-0.8*N288)</f>
        <v>0</v>
      </c>
      <c r="W288" s="1405">
        <f t="shared" ca="1" si="465"/>
        <v>0</v>
      </c>
      <c r="X288" s="1411">
        <f t="shared" ca="1" si="438"/>
        <v>0</v>
      </c>
      <c r="Y288" s="256" cm="1">
        <f t="array" aca="1" ref="Y288" ca="1">_xlfn.SWITCH(T288,Y$3,V288+Z288,W$3,W288,0)</f>
        <v>0</v>
      </c>
      <c r="Z288" s="1585" cm="1">
        <f t="array" aca="1" ref="Z288" ca="1">IFERROR(INDEX('Abords des bâtiments'!L:L, $F287)*$K288/$M288,0)/$I$1*(1-0.8*N288)</f>
        <v>0</v>
      </c>
      <c r="AA288" s="1460">
        <f t="shared" ca="1" si="466"/>
        <v>0</v>
      </c>
      <c r="AB288" s="1460"/>
    </row>
    <row r="289" spans="2:28" ht="16.5" outlineLevel="1" thickBot="1">
      <c r="B289" s="1883"/>
      <c r="C289" s="1869"/>
      <c r="D289" s="1461"/>
      <c r="E289" s="640"/>
      <c r="F289" s="640">
        <f t="shared" ca="1" si="444"/>
        <v>2</v>
      </c>
      <c r="G289" s="640" cm="1">
        <f t="array" aca="1" ref="G289" ca="1">INDEX( 'Abords des bâtiments'!C:C, $F288)</f>
        <v>0</v>
      </c>
      <c r="H289" s="1048" cm="1">
        <f t="array" aca="1" ref="H289" ca="1">INDEX( 'Abords des bâtiments'!D:D, $F288)</f>
        <v>0</v>
      </c>
      <c r="I289" s="1048" cm="1">
        <f t="array" aca="1" ref="I289" ca="1">INDEX( 'Abords des bâtiments'!G:G, $F288)</f>
        <v>0</v>
      </c>
      <c r="J289" s="1048">
        <f ca="1">_xlfn.XLOOKUP($I289,'Baumaterialien Matériaux'!A:A,'Baumaterialien Matériaux'!G:G,0,0)</f>
        <v>0</v>
      </c>
      <c r="K289" s="1048">
        <f t="shared" ca="1" si="462"/>
        <v>0</v>
      </c>
      <c r="L289" s="640" cm="1">
        <f t="array" aca="1" ref="L289" ca="1">INDEX( 'Abords des bâtiments'!J:J, $F288)</f>
        <v>0</v>
      </c>
      <c r="M289" s="1524" cm="1">
        <f t="array" aca="1" ref="M289" ca="1">INDEX( 'Abords des bâtiments'!H:H, $F288)</f>
        <v>0</v>
      </c>
      <c r="N289" s="1650">
        <f>'Outil détaillé'!E$75</f>
        <v>0</v>
      </c>
      <c r="O289" s="1603" cm="1">
        <f t="array" aca="1" ref="O289" ca="1">IFERROR(INDEX('Abords des bâtiments'!M:M, $F288)*$K289/$M289,0)/$I$1*(1-0.8*N289)</f>
        <v>0</v>
      </c>
      <c r="P289" s="1462">
        <f t="shared" ca="1" si="463"/>
        <v>0</v>
      </c>
      <c r="Q289" s="1050">
        <f t="shared" ca="1" si="437"/>
        <v>0</v>
      </c>
      <c r="R289" s="1336" cm="1">
        <f t="array" aca="1" ref="R289" ca="1">_xlfn.SWITCH(L289,R$3,O289+S289,P$3,P289,0)</f>
        <v>0</v>
      </c>
      <c r="S289" s="1603" cm="1">
        <f t="array" aca="1" ref="S289" ca="1">IFERROR(INDEX('Abords des bâtiments'!N:N, $F288)*$K289/$M289,0)/$I$1*(1-0.8*N289)</f>
        <v>0</v>
      </c>
      <c r="T289" s="1642">
        <f t="shared" ca="1" si="464"/>
        <v>0</v>
      </c>
      <c r="U289" s="1637" cm="1">
        <f t="array" aca="1" ref="U289" ca="1">IFERROR(INDEX('Abords des bâtiments'!O:O, $F288)*$K289/$M289,0)/$I$1*(1-0.8*N289)</f>
        <v>0</v>
      </c>
      <c r="V289" s="1603" cm="1">
        <f t="array" aca="1" ref="V289" ca="1">IFERROR(INDEX('Abords des bâtiments'!K:K, $F288)*$K289/$M289,0)/$I$1*(1-0.8*N289)</f>
        <v>0</v>
      </c>
      <c r="W289" s="1462">
        <f t="shared" ca="1" si="465"/>
        <v>0</v>
      </c>
      <c r="X289" s="1050">
        <f t="shared" ca="1" si="438"/>
        <v>0</v>
      </c>
      <c r="Y289" s="284" cm="1">
        <f t="array" aca="1" ref="Y289" ca="1">_xlfn.SWITCH(T289,Y$3,V289+Z289,W$3,W289,0)</f>
        <v>0</v>
      </c>
      <c r="Z289" s="1603" cm="1">
        <f t="array" aca="1" ref="Z289" ca="1">IFERROR(INDEX('Abords des bâtiments'!L:L, $F288)*$K289/$M289,0)/$I$1*(1-0.8*N289)</f>
        <v>0</v>
      </c>
      <c r="AA289" s="1506">
        <f t="shared" ca="1" si="466"/>
        <v>0</v>
      </c>
      <c r="AB289" s="1506"/>
    </row>
    <row r="290" spans="2:28">
      <c r="C290" s="1240"/>
      <c r="D290" s="159"/>
      <c r="F290" s="159"/>
      <c r="G290" s="159"/>
      <c r="H290" s="159"/>
      <c r="I290" s="159"/>
      <c r="J290" s="159"/>
      <c r="K290" s="159"/>
      <c r="L290" s="159"/>
      <c r="M290" s="159"/>
      <c r="N290" s="1633"/>
      <c r="O290" s="1516"/>
      <c r="P290" s="159"/>
      <c r="Q290" s="159"/>
      <c r="R290" s="159"/>
      <c r="S290" s="159"/>
      <c r="T290" s="159"/>
      <c r="U290" s="159"/>
      <c r="V290" s="159"/>
      <c r="W290" s="159"/>
      <c r="X290" s="159"/>
      <c r="Y290" s="159"/>
      <c r="Z290" s="159"/>
      <c r="AA290" s="159"/>
      <c r="AB290" s="159"/>
    </row>
    <row r="291" spans="2:28" ht="16.149999999999999" customHeight="1" thickBot="1">
      <c r="F291" s="159"/>
      <c r="K291" s="260"/>
      <c r="O291" s="1498"/>
      <c r="P291" s="159"/>
      <c r="Q291" s="159"/>
      <c r="R291" s="159"/>
      <c r="S291" s="159"/>
      <c r="T291" s="159"/>
      <c r="U291" s="159"/>
      <c r="V291" s="1416"/>
      <c r="W291" s="159"/>
      <c r="X291" s="159"/>
      <c r="Y291" s="159"/>
      <c r="Z291" s="159"/>
      <c r="AA291" s="159"/>
      <c r="AB291" s="159"/>
    </row>
    <row r="292" spans="2:28">
      <c r="B292" s="1651" t="s">
        <v>4053</v>
      </c>
      <c r="C292" s="1652"/>
      <c r="D292" s="998"/>
      <c r="E292" s="998"/>
      <c r="F292" s="1653"/>
      <c r="G292" s="998"/>
      <c r="H292" s="998"/>
      <c r="I292" s="998"/>
      <c r="J292" s="998"/>
      <c r="K292" s="1654"/>
      <c r="L292" s="998"/>
      <c r="M292" s="998"/>
      <c r="N292" s="1655"/>
      <c r="O292" s="1656">
        <f t="shared" ref="O292:AA292" ca="1" si="467">O4+O14+O31+O41+O53+O61+O75+O86+O95+O109+O134+O182+O168+O257+O260+O266+O269+O246+O233+O178+O161+O271</f>
        <v>470.85368537554513</v>
      </c>
      <c r="P292" s="1657">
        <f t="shared" ca="1" si="467"/>
        <v>0.11925982473438507</v>
      </c>
      <c r="Q292" s="1657">
        <f t="shared" ca="1" si="467"/>
        <v>183.15490568860002</v>
      </c>
      <c r="R292" s="1657">
        <f t="shared" ca="1" si="467"/>
        <v>64.160399969114664</v>
      </c>
      <c r="S292" s="1657">
        <f t="shared" ca="1" si="467"/>
        <v>60.47955904376461</v>
      </c>
      <c r="T292" s="1657">
        <f t="shared" ca="1" si="467"/>
        <v>778.76780990175871</v>
      </c>
      <c r="U292" s="1657">
        <f t="shared" ca="1" si="467"/>
        <v>409.44516296567025</v>
      </c>
      <c r="V292" s="1656">
        <f t="shared" ca="1" si="467"/>
        <v>1536.5921139238678</v>
      </c>
      <c r="W292" s="1657">
        <f t="shared" ca="1" si="467"/>
        <v>0.20024486377173209</v>
      </c>
      <c r="X292" s="1657">
        <f t="shared" ca="1" si="467"/>
        <v>689.18823679399998</v>
      </c>
      <c r="Y292" s="1657">
        <f t="shared" ca="1" si="467"/>
        <v>0</v>
      </c>
      <c r="Z292" s="1657">
        <f t="shared" ca="1" si="467"/>
        <v>144.69285441567783</v>
      </c>
      <c r="AA292" s="1658">
        <f t="shared" ca="1" si="467"/>
        <v>2370.6734499973177</v>
      </c>
      <c r="AB292" s="1658"/>
    </row>
    <row r="293" spans="2:28" ht="24" thickBot="1">
      <c r="B293" s="1659" t="s">
        <v>4054</v>
      </c>
      <c r="C293" s="1660"/>
      <c r="D293" s="905"/>
      <c r="E293" s="905"/>
      <c r="F293" s="905"/>
      <c r="G293" s="905"/>
      <c r="H293" s="905"/>
      <c r="I293" s="905"/>
      <c r="J293" s="905"/>
      <c r="K293" s="905"/>
      <c r="L293" s="905"/>
      <c r="M293" s="905"/>
      <c r="N293" s="1661"/>
      <c r="O293" s="898"/>
      <c r="P293" s="171"/>
      <c r="Q293" s="171"/>
      <c r="R293" s="284"/>
      <c r="S293" s="171"/>
      <c r="T293" s="1043">
        <f ca="1">T292/Hypothèses!$D54</f>
        <v>12.979463498362644</v>
      </c>
      <c r="U293" s="1043">
        <f ca="1">U292/Hypothèses!$D54</f>
        <v>6.8240860494278373</v>
      </c>
      <c r="V293" s="1500"/>
      <c r="W293" s="284"/>
      <c r="X293" s="284"/>
      <c r="Y293" s="284"/>
      <c r="Z293" s="284"/>
      <c r="AA293" s="1531">
        <f ca="1">AA292/Hypothèses!$D54</f>
        <v>39.511224166621965</v>
      </c>
      <c r="AB293" s="1531"/>
    </row>
    <row r="294" spans="2:28">
      <c r="U294" s="258"/>
      <c r="V294" s="258"/>
      <c r="W294" s="258"/>
      <c r="X294" s="258"/>
      <c r="Y294" s="1416"/>
      <c r="Z294" s="258"/>
      <c r="AA294" s="258"/>
      <c r="AB294" s="258"/>
    </row>
    <row r="295" spans="2:28">
      <c r="U295" s="258"/>
      <c r="V295" s="258"/>
      <c r="W295" s="258"/>
      <c r="X295" s="258"/>
      <c r="Y295" s="1416"/>
      <c r="Z295" s="258"/>
      <c r="AA295" s="258"/>
      <c r="AB295" s="258"/>
    </row>
    <row r="296" spans="2:28">
      <c r="U296" s="258"/>
      <c r="V296" s="258"/>
      <c r="W296" s="258"/>
      <c r="X296" s="258"/>
      <c r="Y296" s="1416"/>
      <c r="Z296" s="258"/>
      <c r="AA296" s="258"/>
      <c r="AB296" s="258"/>
    </row>
    <row r="297" spans="2:28">
      <c r="U297" s="258"/>
      <c r="V297" s="258"/>
      <c r="W297" s="258"/>
      <c r="X297" s="258"/>
      <c r="Y297" s="1416"/>
      <c r="Z297" s="258"/>
      <c r="AA297" s="258"/>
      <c r="AB297" s="258"/>
    </row>
    <row r="298" spans="2:28">
      <c r="U298" s="258"/>
      <c r="V298" s="258"/>
      <c r="W298" s="258"/>
      <c r="X298" s="258"/>
      <c r="Y298" s="1416"/>
      <c r="Z298" s="258"/>
      <c r="AA298" s="258"/>
      <c r="AB298" s="258"/>
    </row>
    <row r="299" spans="2:28">
      <c r="U299" s="258"/>
      <c r="V299" s="258"/>
      <c r="W299" s="258"/>
      <c r="X299" s="258"/>
      <c r="Y299" s="1416"/>
      <c r="Z299" s="258"/>
      <c r="AA299" s="258"/>
      <c r="AB299" s="258"/>
    </row>
    <row r="300" spans="2:28">
      <c r="U300" s="258"/>
      <c r="V300" s="258"/>
      <c r="W300" s="258"/>
      <c r="X300" s="258"/>
      <c r="Y300" s="1416"/>
      <c r="Z300" s="258"/>
      <c r="AA300" s="258"/>
      <c r="AB300" s="258"/>
    </row>
    <row r="301" spans="2:28">
      <c r="U301" s="258"/>
      <c r="V301" s="258"/>
      <c r="W301" s="258"/>
      <c r="X301" s="258"/>
      <c r="Y301" s="1416"/>
      <c r="Z301" s="258"/>
      <c r="AA301" s="258"/>
      <c r="AB301" s="258"/>
    </row>
    <row r="302" spans="2:28">
      <c r="U302" s="258"/>
      <c r="V302" s="258"/>
      <c r="W302" s="258"/>
      <c r="X302" s="258"/>
      <c r="Y302" s="1416"/>
      <c r="Z302" s="258"/>
      <c r="AA302" s="258"/>
      <c r="AB302" s="258"/>
    </row>
    <row r="303" spans="2:28">
      <c r="U303" s="258"/>
      <c r="V303" s="258"/>
      <c r="W303" s="258"/>
      <c r="X303" s="258"/>
      <c r="Y303" s="1416"/>
      <c r="Z303" s="258"/>
      <c r="AA303" s="258"/>
      <c r="AB303" s="258"/>
    </row>
    <row r="304" spans="2:28">
      <c r="U304" s="258"/>
      <c r="V304" s="258"/>
      <c r="W304" s="258"/>
      <c r="X304" s="258"/>
      <c r="Y304" s="1416"/>
      <c r="Z304" s="258"/>
      <c r="AA304" s="258"/>
      <c r="AB304" s="258"/>
    </row>
    <row r="305" spans="21:28">
      <c r="U305" s="258"/>
      <c r="V305" s="258"/>
      <c r="W305" s="258"/>
      <c r="X305" s="258"/>
      <c r="Y305" s="1416"/>
      <c r="Z305" s="258"/>
      <c r="AA305" s="258"/>
      <c r="AB305" s="258"/>
    </row>
    <row r="306" spans="21:28">
      <c r="U306" s="258"/>
      <c r="V306" s="258"/>
      <c r="W306" s="258"/>
      <c r="X306" s="258"/>
      <c r="Y306" s="1416"/>
      <c r="Z306" s="258"/>
      <c r="AA306" s="258"/>
      <c r="AB306" s="258"/>
    </row>
    <row r="307" spans="21:28">
      <c r="U307" s="258"/>
      <c r="V307" s="258"/>
      <c r="W307" s="258"/>
      <c r="X307" s="258"/>
      <c r="Y307" s="1416"/>
      <c r="Z307" s="258"/>
      <c r="AA307" s="258"/>
      <c r="AB307" s="258"/>
    </row>
    <row r="308" spans="21:28">
      <c r="U308" s="258"/>
      <c r="V308" s="258"/>
      <c r="W308" s="258"/>
      <c r="X308" s="258"/>
      <c r="Y308" s="1416"/>
      <c r="Z308" s="258"/>
      <c r="AA308" s="258"/>
      <c r="AB308" s="258"/>
    </row>
    <row r="309" spans="21:28">
      <c r="U309" s="258"/>
      <c r="V309" s="258"/>
      <c r="W309" s="258"/>
      <c r="X309" s="258"/>
      <c r="Y309" s="1416"/>
      <c r="Z309" s="258"/>
      <c r="AA309" s="258"/>
      <c r="AB309" s="258"/>
    </row>
    <row r="310" spans="21:28">
      <c r="U310" s="258"/>
      <c r="V310" s="258"/>
      <c r="W310" s="258"/>
      <c r="X310" s="258"/>
      <c r="Y310" s="1416"/>
      <c r="Z310" s="258"/>
      <c r="AA310" s="258"/>
      <c r="AB310" s="258"/>
    </row>
    <row r="311" spans="21:28">
      <c r="U311" s="258"/>
      <c r="V311" s="258"/>
      <c r="W311" s="258"/>
      <c r="X311" s="258"/>
      <c r="Y311" s="1416"/>
      <c r="Z311" s="258"/>
      <c r="AA311" s="258"/>
      <c r="AB311" s="258"/>
    </row>
    <row r="312" spans="21:28">
      <c r="U312" s="258"/>
      <c r="V312" s="258"/>
      <c r="W312" s="258"/>
      <c r="X312" s="258"/>
      <c r="Y312" s="1416"/>
      <c r="Z312" s="258"/>
      <c r="AA312" s="258"/>
      <c r="AB312" s="258"/>
    </row>
    <row r="313" spans="21:28">
      <c r="U313" s="258"/>
      <c r="V313" s="258"/>
      <c r="W313" s="258"/>
      <c r="X313" s="258"/>
      <c r="Y313" s="1416"/>
      <c r="Z313" s="258"/>
      <c r="AA313" s="258"/>
      <c r="AB313" s="258"/>
    </row>
    <row r="314" spans="21:28">
      <c r="U314" s="258"/>
      <c r="V314" s="258"/>
      <c r="W314" s="258"/>
      <c r="X314" s="258"/>
      <c r="Y314" s="1416"/>
      <c r="Z314" s="258"/>
      <c r="AA314" s="258"/>
      <c r="AB314" s="258"/>
    </row>
    <row r="315" spans="21:28">
      <c r="U315" s="258"/>
      <c r="V315" s="258"/>
      <c r="W315" s="258"/>
      <c r="X315" s="258"/>
      <c r="Y315" s="1416"/>
      <c r="Z315" s="258"/>
      <c r="AA315" s="258"/>
      <c r="AB315" s="258"/>
    </row>
    <row r="316" spans="21:28">
      <c r="U316" s="258"/>
      <c r="V316" s="258"/>
      <c r="W316" s="258"/>
      <c r="X316" s="258"/>
      <c r="Y316" s="1416"/>
      <c r="Z316" s="258"/>
      <c r="AA316" s="258"/>
      <c r="AB316" s="258"/>
    </row>
    <row r="317" spans="21:28">
      <c r="U317" s="258"/>
      <c r="V317" s="258"/>
      <c r="W317" s="258"/>
      <c r="X317" s="258"/>
      <c r="Y317" s="1416"/>
      <c r="Z317" s="258"/>
      <c r="AA317" s="258"/>
      <c r="AB317" s="258"/>
    </row>
    <row r="318" spans="21:28">
      <c r="U318" s="258"/>
      <c r="V318" s="258"/>
      <c r="W318" s="258"/>
      <c r="X318" s="258"/>
      <c r="Y318" s="1416"/>
      <c r="Z318" s="258"/>
      <c r="AA318" s="258"/>
      <c r="AB318" s="258"/>
    </row>
    <row r="319" spans="21:28">
      <c r="U319" s="258"/>
      <c r="V319" s="258"/>
      <c r="W319" s="258"/>
      <c r="X319" s="258"/>
      <c r="Y319" s="1416"/>
      <c r="Z319" s="258"/>
      <c r="AA319" s="258"/>
      <c r="AB319" s="258"/>
    </row>
    <row r="320" spans="21:28">
      <c r="U320" s="258"/>
      <c r="V320" s="258"/>
      <c r="W320" s="258"/>
      <c r="X320" s="258"/>
      <c r="Y320" s="1416"/>
      <c r="Z320" s="258"/>
      <c r="AA320" s="258"/>
      <c r="AB320" s="258"/>
    </row>
    <row r="321" spans="21:28">
      <c r="U321" s="258"/>
      <c r="V321" s="258"/>
      <c r="W321" s="258"/>
      <c r="X321" s="258"/>
      <c r="Y321" s="1416"/>
      <c r="Z321" s="258"/>
      <c r="AA321" s="258"/>
      <c r="AB321" s="258"/>
    </row>
    <row r="322" spans="21:28">
      <c r="U322" s="258"/>
      <c r="V322" s="258"/>
      <c r="W322" s="258"/>
      <c r="X322" s="258"/>
      <c r="Y322" s="1416"/>
      <c r="Z322" s="258"/>
      <c r="AA322" s="258"/>
      <c r="AB322" s="258"/>
    </row>
    <row r="323" spans="21:28">
      <c r="U323" s="258"/>
      <c r="V323" s="258"/>
      <c r="W323" s="258"/>
      <c r="X323" s="258"/>
      <c r="Y323" s="1416"/>
      <c r="Z323" s="258"/>
      <c r="AA323" s="258"/>
      <c r="AB323" s="258"/>
    </row>
    <row r="324" spans="21:28">
      <c r="U324" s="258"/>
      <c r="V324" s="258"/>
      <c r="W324" s="258"/>
      <c r="X324" s="258"/>
      <c r="Y324" s="1416"/>
      <c r="Z324" s="258"/>
      <c r="AA324" s="258"/>
      <c r="AB324" s="258"/>
    </row>
    <row r="325" spans="21:28">
      <c r="U325" s="258"/>
      <c r="V325" s="258"/>
      <c r="W325" s="258"/>
      <c r="X325" s="258"/>
      <c r="Y325" s="1416"/>
      <c r="Z325" s="258"/>
      <c r="AA325" s="258"/>
      <c r="AB325" s="258"/>
    </row>
    <row r="326" spans="21:28">
      <c r="U326" s="258"/>
      <c r="V326" s="258"/>
      <c r="W326" s="258"/>
      <c r="X326" s="258"/>
      <c r="Y326" s="1416"/>
      <c r="Z326" s="258"/>
      <c r="AA326" s="258"/>
      <c r="AB326" s="258"/>
    </row>
    <row r="327" spans="21:28">
      <c r="U327" s="258"/>
      <c r="V327" s="258"/>
      <c r="W327" s="258"/>
      <c r="X327" s="258"/>
      <c r="Y327" s="1416"/>
      <c r="Z327" s="258"/>
      <c r="AA327" s="258"/>
      <c r="AB327" s="258"/>
    </row>
    <row r="328" spans="21:28">
      <c r="U328" s="258"/>
      <c r="V328" s="258"/>
      <c r="W328" s="258"/>
      <c r="X328" s="258"/>
      <c r="Y328" s="1416"/>
      <c r="Z328" s="258"/>
      <c r="AA328" s="258"/>
      <c r="AB328" s="258"/>
    </row>
    <row r="329" spans="21:28">
      <c r="U329" s="258"/>
      <c r="V329" s="258"/>
      <c r="W329" s="258"/>
      <c r="X329" s="258"/>
      <c r="Y329" s="1416"/>
      <c r="Z329" s="258"/>
      <c r="AA329" s="258"/>
      <c r="AB329" s="258"/>
    </row>
    <row r="330" spans="21:28">
      <c r="U330" s="258"/>
      <c r="V330" s="258"/>
      <c r="W330" s="258"/>
      <c r="X330" s="258"/>
      <c r="Y330" s="1416"/>
      <c r="Z330" s="258"/>
      <c r="AA330" s="258"/>
      <c r="AB330" s="258"/>
    </row>
    <row r="331" spans="21:28">
      <c r="U331" s="258"/>
      <c r="V331" s="258"/>
      <c r="W331" s="258"/>
      <c r="X331" s="258"/>
      <c r="Y331" s="1416"/>
      <c r="Z331" s="258"/>
      <c r="AA331" s="258"/>
      <c r="AB331" s="258"/>
    </row>
    <row r="332" spans="21:28">
      <c r="U332" s="258"/>
      <c r="V332" s="258"/>
      <c r="W332" s="258"/>
      <c r="X332" s="258"/>
      <c r="Y332" s="1416"/>
      <c r="Z332" s="258"/>
      <c r="AA332" s="258"/>
      <c r="AB332" s="258"/>
    </row>
    <row r="333" spans="21:28">
      <c r="U333" s="258"/>
      <c r="V333" s="258"/>
      <c r="W333" s="258"/>
      <c r="X333" s="258"/>
      <c r="Y333" s="1416"/>
      <c r="Z333" s="258"/>
      <c r="AA333" s="258"/>
      <c r="AB333" s="258"/>
    </row>
    <row r="334" spans="21:28">
      <c r="U334" s="258"/>
      <c r="V334" s="258"/>
      <c r="W334" s="258"/>
      <c r="X334" s="258"/>
      <c r="Y334" s="1416"/>
      <c r="Z334" s="258"/>
      <c r="AA334" s="258"/>
      <c r="AB334" s="258"/>
    </row>
    <row r="335" spans="21:28">
      <c r="U335" s="258"/>
      <c r="V335" s="258"/>
      <c r="W335" s="258"/>
      <c r="X335" s="258"/>
      <c r="Y335" s="1416"/>
      <c r="Z335" s="258"/>
      <c r="AA335" s="258"/>
      <c r="AB335" s="258"/>
    </row>
    <row r="336" spans="21:28">
      <c r="U336" s="258"/>
      <c r="V336" s="258"/>
      <c r="W336" s="258"/>
      <c r="X336" s="258"/>
      <c r="Y336" s="1416"/>
      <c r="Z336" s="258"/>
      <c r="AA336" s="258"/>
      <c r="AB336" s="258"/>
    </row>
    <row r="337" spans="21:28">
      <c r="U337" s="258"/>
      <c r="V337" s="258"/>
      <c r="W337" s="258"/>
      <c r="X337" s="258"/>
      <c r="Y337" s="1416"/>
      <c r="Z337" s="258"/>
      <c r="AA337" s="258"/>
      <c r="AB337" s="258"/>
    </row>
    <row r="338" spans="21:28">
      <c r="U338" s="258"/>
      <c r="V338" s="258"/>
      <c r="W338" s="258"/>
      <c r="X338" s="258"/>
      <c r="Y338" s="1416"/>
      <c r="Z338" s="258"/>
      <c r="AA338" s="258"/>
      <c r="AB338" s="258"/>
    </row>
    <row r="339" spans="21:28">
      <c r="U339" s="258"/>
      <c r="V339" s="258"/>
      <c r="W339" s="258"/>
      <c r="X339" s="258"/>
      <c r="Y339" s="1416"/>
      <c r="Z339" s="258"/>
      <c r="AA339" s="258"/>
      <c r="AB339" s="258"/>
    </row>
    <row r="340" spans="21:28">
      <c r="U340" s="258"/>
      <c r="V340" s="258"/>
      <c r="W340" s="258"/>
      <c r="X340" s="258"/>
      <c r="Y340" s="1416"/>
      <c r="Z340" s="258"/>
      <c r="AA340" s="258"/>
      <c r="AB340" s="258"/>
    </row>
    <row r="341" spans="21:28">
      <c r="U341" s="258"/>
      <c r="V341" s="258"/>
      <c r="W341" s="258"/>
      <c r="X341" s="258"/>
      <c r="Y341" s="1416"/>
      <c r="Z341" s="258"/>
      <c r="AA341" s="258"/>
      <c r="AB341" s="258"/>
    </row>
    <row r="342" spans="21:28">
      <c r="U342" s="258"/>
      <c r="V342" s="258"/>
      <c r="W342" s="258"/>
      <c r="X342" s="258"/>
      <c r="Y342" s="1416"/>
      <c r="Z342" s="258"/>
      <c r="AA342" s="258"/>
      <c r="AB342" s="258"/>
    </row>
    <row r="343" spans="21:28">
      <c r="U343" s="258"/>
      <c r="V343" s="258"/>
      <c r="W343" s="258"/>
      <c r="X343" s="258"/>
      <c r="Y343" s="1416"/>
      <c r="Z343" s="258"/>
      <c r="AA343" s="258"/>
      <c r="AB343" s="258"/>
    </row>
    <row r="344" spans="21:28">
      <c r="U344" s="258"/>
      <c r="V344" s="258"/>
      <c r="W344" s="258"/>
      <c r="X344" s="258"/>
      <c r="Y344" s="1416"/>
      <c r="Z344" s="258"/>
      <c r="AA344" s="258"/>
      <c r="AB344" s="258"/>
    </row>
    <row r="345" spans="21:28">
      <c r="U345" s="258"/>
      <c r="V345" s="258"/>
      <c r="W345" s="258"/>
      <c r="X345" s="258"/>
      <c r="Y345" s="1416"/>
      <c r="Z345" s="258"/>
      <c r="AA345" s="258"/>
      <c r="AB345" s="258"/>
    </row>
    <row r="346" spans="21:28">
      <c r="U346" s="258"/>
      <c r="V346" s="258"/>
      <c r="W346" s="258"/>
      <c r="X346" s="258"/>
      <c r="Y346" s="1416"/>
      <c r="Z346" s="258"/>
      <c r="AA346" s="258"/>
      <c r="AB346" s="258"/>
    </row>
    <row r="347" spans="21:28">
      <c r="U347" s="258"/>
      <c r="V347" s="258"/>
      <c r="W347" s="258"/>
      <c r="X347" s="258"/>
      <c r="Y347" s="1416"/>
      <c r="Z347" s="258"/>
      <c r="AA347" s="258"/>
      <c r="AB347" s="258"/>
    </row>
    <row r="348" spans="21:28">
      <c r="U348" s="258"/>
      <c r="V348" s="258"/>
      <c r="W348" s="258"/>
      <c r="X348" s="258"/>
      <c r="Y348" s="1416"/>
      <c r="Z348" s="258"/>
      <c r="AA348" s="258"/>
      <c r="AB348" s="258"/>
    </row>
    <row r="349" spans="21:28">
      <c r="U349" s="258"/>
      <c r="V349" s="258"/>
      <c r="W349" s="258"/>
      <c r="X349" s="258"/>
      <c r="Y349" s="1416"/>
      <c r="Z349" s="258"/>
      <c r="AA349" s="258"/>
      <c r="AB349" s="258"/>
    </row>
    <row r="350" spans="21:28">
      <c r="U350" s="258"/>
      <c r="V350" s="258"/>
      <c r="W350" s="258"/>
      <c r="X350" s="258"/>
      <c r="Y350" s="1416"/>
      <c r="Z350" s="258"/>
      <c r="AA350" s="258"/>
      <c r="AB350" s="258"/>
    </row>
    <row r="351" spans="21:28">
      <c r="U351" s="258"/>
      <c r="V351" s="258"/>
      <c r="W351" s="258"/>
      <c r="X351" s="258"/>
      <c r="Y351" s="1416"/>
      <c r="Z351" s="258"/>
      <c r="AA351" s="258"/>
      <c r="AB351" s="258"/>
    </row>
    <row r="352" spans="21:28">
      <c r="U352" s="258"/>
      <c r="V352" s="258"/>
      <c r="W352" s="258"/>
      <c r="X352" s="258"/>
      <c r="Y352" s="1416"/>
      <c r="Z352" s="258"/>
      <c r="AA352" s="258"/>
      <c r="AB352" s="258"/>
    </row>
    <row r="353" spans="21:28">
      <c r="U353" s="258"/>
      <c r="V353" s="258"/>
      <c r="W353" s="258"/>
      <c r="X353" s="258"/>
      <c r="Y353" s="1416"/>
      <c r="Z353" s="258"/>
      <c r="AA353" s="258"/>
      <c r="AB353" s="258"/>
    </row>
    <row r="354" spans="21:28">
      <c r="U354" s="258"/>
      <c r="V354" s="258"/>
      <c r="W354" s="258"/>
      <c r="X354" s="258"/>
      <c r="Y354" s="1416"/>
      <c r="Z354" s="258"/>
      <c r="AA354" s="258"/>
      <c r="AB354" s="258"/>
    </row>
    <row r="355" spans="21:28">
      <c r="U355" s="258"/>
      <c r="V355" s="258"/>
      <c r="W355" s="258"/>
      <c r="X355" s="258"/>
      <c r="Y355" s="1416"/>
      <c r="Z355" s="258"/>
      <c r="AA355" s="258"/>
      <c r="AB355" s="258"/>
    </row>
    <row r="356" spans="21:28">
      <c r="U356" s="258"/>
      <c r="V356" s="258"/>
      <c r="W356" s="258"/>
      <c r="X356" s="258"/>
      <c r="Y356" s="1416"/>
      <c r="Z356" s="258"/>
      <c r="AA356" s="258"/>
      <c r="AB356" s="258"/>
    </row>
    <row r="357" spans="21:28">
      <c r="U357" s="258"/>
      <c r="V357" s="258"/>
      <c r="W357" s="258"/>
      <c r="X357" s="258"/>
      <c r="Y357" s="1416"/>
      <c r="Z357" s="258"/>
      <c r="AA357" s="258"/>
      <c r="AB357" s="258"/>
    </row>
    <row r="358" spans="21:28">
      <c r="U358" s="258"/>
      <c r="V358" s="258"/>
      <c r="W358" s="258"/>
      <c r="X358" s="258"/>
      <c r="Y358" s="1416"/>
      <c r="Z358" s="258"/>
      <c r="AA358" s="258"/>
      <c r="AB358" s="258"/>
    </row>
    <row r="359" spans="21:28">
      <c r="U359" s="258"/>
      <c r="V359" s="258"/>
      <c r="W359" s="258"/>
      <c r="X359" s="258"/>
      <c r="Y359" s="1416"/>
      <c r="Z359" s="258"/>
      <c r="AA359" s="258"/>
      <c r="AB359" s="258"/>
    </row>
    <row r="360" spans="21:28">
      <c r="U360" s="258"/>
      <c r="V360" s="258"/>
      <c r="W360" s="258"/>
      <c r="X360" s="258"/>
      <c r="Y360" s="1416"/>
      <c r="Z360" s="258"/>
      <c r="AA360" s="258"/>
      <c r="AB360" s="258"/>
    </row>
    <row r="361" spans="21:28">
      <c r="U361" s="258"/>
      <c r="V361" s="258"/>
      <c r="W361" s="258"/>
      <c r="X361" s="258"/>
      <c r="Y361" s="1416"/>
      <c r="Z361" s="258"/>
      <c r="AA361" s="258"/>
      <c r="AB361" s="258"/>
    </row>
    <row r="362" spans="21:28">
      <c r="U362" s="258"/>
      <c r="V362" s="258"/>
      <c r="W362" s="258"/>
      <c r="X362" s="258"/>
      <c r="Y362" s="1416"/>
      <c r="Z362" s="258"/>
      <c r="AA362" s="258"/>
      <c r="AB362" s="258"/>
    </row>
    <row r="363" spans="21:28">
      <c r="U363" s="258"/>
      <c r="V363" s="258"/>
      <c r="W363" s="258"/>
      <c r="X363" s="258"/>
      <c r="Y363" s="1416"/>
      <c r="Z363" s="258"/>
      <c r="AA363" s="258"/>
      <c r="AB363" s="258"/>
    </row>
    <row r="364" spans="21:28">
      <c r="U364" s="258"/>
      <c r="V364" s="258"/>
      <c r="W364" s="258"/>
      <c r="X364" s="258"/>
      <c r="Y364" s="1416"/>
      <c r="Z364" s="258"/>
      <c r="AA364" s="258"/>
      <c r="AB364" s="258"/>
    </row>
    <row r="365" spans="21:28">
      <c r="U365" s="258"/>
      <c r="V365" s="258"/>
      <c r="W365" s="258"/>
      <c r="X365" s="258"/>
      <c r="Y365" s="1416"/>
      <c r="Z365" s="258"/>
      <c r="AA365" s="258"/>
      <c r="AB365" s="258"/>
    </row>
    <row r="366" spans="21:28">
      <c r="U366" s="258"/>
      <c r="V366" s="258"/>
      <c r="W366" s="258"/>
      <c r="X366" s="258"/>
      <c r="Y366" s="1416"/>
      <c r="Z366" s="258"/>
      <c r="AA366" s="258"/>
      <c r="AB366" s="258"/>
    </row>
    <row r="367" spans="21:28">
      <c r="U367" s="258"/>
      <c r="V367" s="258"/>
      <c r="W367" s="258"/>
      <c r="X367" s="258"/>
      <c r="Y367" s="1416"/>
      <c r="Z367" s="258"/>
      <c r="AA367" s="258"/>
      <c r="AB367" s="258"/>
    </row>
    <row r="368" spans="21:28">
      <c r="U368" s="258"/>
      <c r="V368" s="258"/>
      <c r="W368" s="258"/>
      <c r="X368" s="258"/>
      <c r="Y368" s="1416"/>
      <c r="Z368" s="258"/>
      <c r="AA368" s="258"/>
      <c r="AB368" s="258"/>
    </row>
    <row r="369" spans="21:28">
      <c r="U369" s="258"/>
      <c r="V369" s="258"/>
      <c r="W369" s="258"/>
      <c r="X369" s="258"/>
      <c r="Y369" s="1416"/>
      <c r="Z369" s="258"/>
      <c r="AA369" s="258"/>
      <c r="AB369" s="258"/>
    </row>
    <row r="370" spans="21:28">
      <c r="U370" s="258"/>
      <c r="V370" s="258"/>
      <c r="W370" s="258"/>
      <c r="X370" s="258"/>
      <c r="Y370" s="1416"/>
      <c r="Z370" s="258"/>
      <c r="AA370" s="258"/>
      <c r="AB370" s="258"/>
    </row>
    <row r="371" spans="21:28">
      <c r="U371" s="258"/>
      <c r="V371" s="258"/>
      <c r="W371" s="258"/>
      <c r="X371" s="258"/>
      <c r="Y371" s="1416"/>
      <c r="Z371" s="258"/>
      <c r="AA371" s="258"/>
      <c r="AB371" s="258"/>
    </row>
    <row r="372" spans="21:28">
      <c r="U372" s="258"/>
      <c r="V372" s="258"/>
      <c r="W372" s="258"/>
      <c r="X372" s="258"/>
      <c r="Y372" s="1416"/>
      <c r="Z372" s="258"/>
      <c r="AA372" s="258"/>
      <c r="AB372" s="258"/>
    </row>
    <row r="373" spans="21:28">
      <c r="U373" s="258"/>
      <c r="V373" s="258"/>
      <c r="W373" s="258"/>
      <c r="X373" s="258"/>
      <c r="Y373" s="1416"/>
      <c r="Z373" s="258"/>
      <c r="AA373" s="258"/>
      <c r="AB373" s="258"/>
    </row>
    <row r="374" spans="21:28">
      <c r="U374" s="258"/>
      <c r="V374" s="258"/>
      <c r="W374" s="258"/>
      <c r="X374" s="258"/>
      <c r="Y374" s="1416"/>
      <c r="Z374" s="258"/>
      <c r="AA374" s="258"/>
      <c r="AB374" s="258"/>
    </row>
    <row r="375" spans="21:28">
      <c r="U375" s="258"/>
      <c r="V375" s="258"/>
      <c r="W375" s="258"/>
      <c r="X375" s="258"/>
      <c r="Y375" s="1416"/>
      <c r="Z375" s="258"/>
      <c r="AA375" s="258"/>
      <c r="AB375" s="258"/>
    </row>
    <row r="376" spans="21:28">
      <c r="U376" s="258"/>
      <c r="V376" s="258"/>
      <c r="W376" s="258"/>
      <c r="X376" s="258"/>
      <c r="Y376" s="1416"/>
      <c r="Z376" s="258"/>
      <c r="AA376" s="258"/>
      <c r="AB376" s="258"/>
    </row>
    <row r="377" spans="21:28">
      <c r="U377" s="258"/>
      <c r="V377" s="258"/>
      <c r="W377" s="258"/>
      <c r="X377" s="258"/>
      <c r="Y377" s="1416"/>
      <c r="Z377" s="258"/>
      <c r="AA377" s="258"/>
      <c r="AB377" s="258"/>
    </row>
    <row r="378" spans="21:28">
      <c r="U378" s="258"/>
      <c r="V378" s="258"/>
      <c r="W378" s="258"/>
      <c r="X378" s="258"/>
      <c r="Y378" s="1416"/>
      <c r="Z378" s="258"/>
      <c r="AA378" s="258"/>
      <c r="AB378" s="258"/>
    </row>
    <row r="379" spans="21:28">
      <c r="U379" s="258"/>
      <c r="V379" s="258"/>
      <c r="W379" s="258"/>
      <c r="X379" s="258"/>
      <c r="Y379" s="1416"/>
      <c r="Z379" s="258"/>
      <c r="AA379" s="258"/>
      <c r="AB379" s="258"/>
    </row>
    <row r="380" spans="21:28">
      <c r="U380" s="258"/>
      <c r="V380" s="258"/>
      <c r="W380" s="258"/>
      <c r="X380" s="258"/>
      <c r="Y380" s="1416"/>
      <c r="Z380" s="258"/>
      <c r="AA380" s="258"/>
      <c r="AB380" s="258"/>
    </row>
    <row r="381" spans="21:28">
      <c r="U381" s="258"/>
      <c r="V381" s="258"/>
      <c r="W381" s="258"/>
      <c r="X381" s="258"/>
      <c r="Y381" s="1416"/>
      <c r="Z381" s="258"/>
      <c r="AA381" s="258"/>
      <c r="AB381" s="258"/>
    </row>
    <row r="382" spans="21:28">
      <c r="U382" s="258"/>
      <c r="V382" s="258"/>
      <c r="W382" s="258"/>
      <c r="X382" s="258"/>
      <c r="Y382" s="1416"/>
      <c r="Z382" s="258"/>
      <c r="AA382" s="258"/>
      <c r="AB382" s="258"/>
    </row>
    <row r="383" spans="21:28">
      <c r="U383" s="258"/>
      <c r="V383" s="258"/>
      <c r="W383" s="258"/>
      <c r="X383" s="258"/>
      <c r="Y383" s="1416"/>
      <c r="Z383" s="258"/>
      <c r="AA383" s="258"/>
      <c r="AB383" s="258"/>
    </row>
    <row r="384" spans="21:28">
      <c r="U384" s="258"/>
      <c r="V384" s="258"/>
      <c r="W384" s="258"/>
      <c r="X384" s="258"/>
      <c r="Y384" s="1416"/>
      <c r="Z384" s="258"/>
      <c r="AA384" s="258"/>
      <c r="AB384" s="258"/>
    </row>
    <row r="385" spans="21:28">
      <c r="U385" s="258"/>
      <c r="V385" s="258"/>
      <c r="W385" s="258"/>
      <c r="X385" s="258"/>
      <c r="Y385" s="1416"/>
      <c r="Z385" s="258"/>
      <c r="AA385" s="258"/>
      <c r="AB385" s="258"/>
    </row>
    <row r="386" spans="21:28">
      <c r="U386" s="258"/>
      <c r="V386" s="258"/>
      <c r="W386" s="258"/>
      <c r="X386" s="258"/>
      <c r="Y386" s="1416"/>
      <c r="Z386" s="258"/>
      <c r="AA386" s="258"/>
      <c r="AB386" s="258"/>
    </row>
    <row r="387" spans="21:28">
      <c r="U387" s="258"/>
      <c r="V387" s="258"/>
      <c r="W387" s="258"/>
      <c r="X387" s="258"/>
      <c r="Y387" s="1416"/>
      <c r="Z387" s="258"/>
      <c r="AA387" s="258"/>
      <c r="AB387" s="258"/>
    </row>
    <row r="388" spans="21:28">
      <c r="U388" s="258"/>
      <c r="V388" s="258"/>
      <c r="W388" s="258"/>
      <c r="X388" s="258"/>
      <c r="Y388" s="1416"/>
      <c r="Z388" s="258"/>
      <c r="AA388" s="258"/>
      <c r="AB388" s="258"/>
    </row>
    <row r="389" spans="21:28">
      <c r="U389" s="258"/>
      <c r="V389" s="258"/>
      <c r="W389" s="258"/>
      <c r="X389" s="258"/>
      <c r="Y389" s="1416"/>
      <c r="Z389" s="258"/>
      <c r="AA389" s="258"/>
      <c r="AB389" s="258"/>
    </row>
    <row r="390" spans="21:28">
      <c r="U390" s="258"/>
      <c r="V390" s="258"/>
      <c r="W390" s="258"/>
      <c r="X390" s="258"/>
      <c r="Y390" s="1416"/>
      <c r="Z390" s="258"/>
      <c r="AA390" s="258"/>
      <c r="AB390" s="258"/>
    </row>
    <row r="391" spans="21:28">
      <c r="U391" s="258"/>
      <c r="V391" s="258"/>
      <c r="W391" s="258"/>
      <c r="X391" s="258"/>
      <c r="Y391" s="1416"/>
      <c r="Z391" s="258"/>
      <c r="AA391" s="258"/>
      <c r="AB391" s="258"/>
    </row>
    <row r="392" spans="21:28">
      <c r="U392" s="258"/>
      <c r="V392" s="258"/>
      <c r="W392" s="258"/>
      <c r="X392" s="258"/>
      <c r="Y392" s="1416"/>
      <c r="Z392" s="258"/>
      <c r="AA392" s="258"/>
      <c r="AB392" s="258"/>
    </row>
    <row r="393" spans="21:28">
      <c r="U393" s="258"/>
      <c r="V393" s="258"/>
      <c r="W393" s="258"/>
      <c r="X393" s="258"/>
      <c r="Y393" s="1416"/>
      <c r="Z393" s="258"/>
      <c r="AA393" s="258"/>
      <c r="AB393" s="258"/>
    </row>
    <row r="394" spans="21:28">
      <c r="U394" s="258"/>
      <c r="V394" s="258"/>
      <c r="W394" s="258"/>
      <c r="X394" s="258"/>
      <c r="Y394" s="1416"/>
      <c r="Z394" s="258"/>
      <c r="AA394" s="258"/>
      <c r="AB394" s="258"/>
    </row>
    <row r="395" spans="21:28">
      <c r="U395" s="258"/>
      <c r="V395" s="258"/>
      <c r="W395" s="258"/>
      <c r="X395" s="258"/>
      <c r="Y395" s="1416"/>
      <c r="Z395" s="258"/>
      <c r="AA395" s="258"/>
      <c r="AB395" s="258"/>
    </row>
    <row r="396" spans="21:28">
      <c r="U396" s="258"/>
      <c r="V396" s="258"/>
      <c r="W396" s="258"/>
      <c r="X396" s="258"/>
      <c r="Y396" s="1416"/>
      <c r="Z396" s="258"/>
      <c r="AA396" s="258"/>
      <c r="AB396" s="258"/>
    </row>
    <row r="397" spans="21:28">
      <c r="U397" s="258"/>
      <c r="V397" s="258"/>
      <c r="W397" s="258"/>
      <c r="X397" s="258"/>
      <c r="Y397" s="1416"/>
      <c r="Z397" s="258"/>
      <c r="AA397" s="258"/>
      <c r="AB397" s="258"/>
    </row>
    <row r="398" spans="21:28">
      <c r="U398" s="258"/>
      <c r="V398" s="258"/>
      <c r="W398" s="258"/>
      <c r="X398" s="258"/>
      <c r="Y398" s="1416"/>
      <c r="Z398" s="258"/>
      <c r="AA398" s="258"/>
      <c r="AB398" s="258"/>
    </row>
    <row r="399" spans="21:28">
      <c r="U399" s="258"/>
      <c r="V399" s="258"/>
      <c r="W399" s="258"/>
      <c r="X399" s="258"/>
      <c r="Y399" s="1416"/>
      <c r="Z399" s="258"/>
      <c r="AA399" s="258"/>
      <c r="AB399" s="258"/>
    </row>
    <row r="400" spans="21:28">
      <c r="U400" s="258"/>
      <c r="V400" s="258"/>
      <c r="W400" s="258"/>
      <c r="X400" s="258"/>
      <c r="Y400" s="1416"/>
      <c r="Z400" s="258"/>
      <c r="AA400" s="258"/>
      <c r="AB400" s="258"/>
    </row>
    <row r="401" spans="21:28">
      <c r="U401" s="258"/>
      <c r="V401" s="258"/>
      <c r="W401" s="258"/>
      <c r="X401" s="258"/>
      <c r="Y401" s="1416"/>
      <c r="Z401" s="258"/>
      <c r="AA401" s="258"/>
      <c r="AB401" s="258"/>
    </row>
    <row r="402" spans="21:28">
      <c r="U402" s="258"/>
      <c r="V402" s="258"/>
      <c r="W402" s="258"/>
      <c r="X402" s="258"/>
      <c r="Y402" s="1416"/>
      <c r="Z402" s="258"/>
      <c r="AA402" s="258"/>
      <c r="AB402" s="258"/>
    </row>
    <row r="403" spans="21:28">
      <c r="U403" s="258"/>
      <c r="V403" s="258"/>
      <c r="W403" s="258"/>
      <c r="X403" s="258"/>
      <c r="Y403" s="1416"/>
      <c r="Z403" s="258"/>
      <c r="AA403" s="258"/>
      <c r="AB403" s="258"/>
    </row>
    <row r="404" spans="21:28">
      <c r="U404" s="258"/>
      <c r="V404" s="258"/>
      <c r="W404" s="258"/>
      <c r="X404" s="258"/>
      <c r="Y404" s="1416"/>
      <c r="Z404" s="258"/>
      <c r="AA404" s="258"/>
      <c r="AB404" s="258"/>
    </row>
    <row r="405" spans="21:28">
      <c r="U405" s="258"/>
      <c r="V405" s="258"/>
      <c r="W405" s="258"/>
      <c r="X405" s="258"/>
      <c r="Y405" s="1416"/>
      <c r="Z405" s="258"/>
      <c r="AA405" s="258"/>
      <c r="AB405" s="258"/>
    </row>
    <row r="406" spans="21:28">
      <c r="U406" s="258"/>
      <c r="V406" s="258"/>
      <c r="W406" s="258"/>
      <c r="X406" s="258"/>
      <c r="Y406" s="1416"/>
      <c r="Z406" s="258"/>
      <c r="AA406" s="258"/>
      <c r="AB406" s="258"/>
    </row>
    <row r="407" spans="21:28">
      <c r="U407" s="258"/>
      <c r="V407" s="258"/>
      <c r="W407" s="258"/>
      <c r="X407" s="258"/>
      <c r="Y407" s="1416"/>
      <c r="Z407" s="258"/>
      <c r="AA407" s="258"/>
      <c r="AB407" s="258"/>
    </row>
    <row r="408" spans="21:28">
      <c r="U408" s="258"/>
      <c r="V408" s="258"/>
      <c r="W408" s="258"/>
      <c r="X408" s="258"/>
      <c r="Y408" s="1416"/>
      <c r="Z408" s="258"/>
      <c r="AA408" s="258"/>
      <c r="AB408" s="258"/>
    </row>
    <row r="409" spans="21:28">
      <c r="U409" s="258"/>
      <c r="V409" s="258"/>
      <c r="W409" s="258"/>
      <c r="X409" s="258"/>
      <c r="Y409" s="1416"/>
      <c r="Z409" s="258"/>
      <c r="AA409" s="258"/>
      <c r="AB409" s="258"/>
    </row>
    <row r="410" spans="21:28">
      <c r="U410" s="258"/>
      <c r="V410" s="258"/>
      <c r="W410" s="258"/>
      <c r="X410" s="258"/>
      <c r="Y410" s="1416"/>
      <c r="Z410" s="258"/>
      <c r="AA410" s="258"/>
      <c r="AB410" s="258"/>
    </row>
    <row r="411" spans="21:28">
      <c r="U411" s="258"/>
      <c r="V411" s="258"/>
      <c r="W411" s="258"/>
      <c r="X411" s="258"/>
      <c r="Y411" s="1416"/>
      <c r="Z411" s="258"/>
      <c r="AA411" s="258"/>
      <c r="AB411" s="258"/>
    </row>
    <row r="412" spans="21:28">
      <c r="U412" s="258"/>
      <c r="V412" s="258"/>
      <c r="W412" s="258"/>
      <c r="X412" s="258"/>
      <c r="Y412" s="1416"/>
      <c r="Z412" s="258"/>
      <c r="AA412" s="258"/>
      <c r="AB412" s="258"/>
    </row>
    <row r="413" spans="21:28">
      <c r="U413" s="258"/>
      <c r="V413" s="258"/>
      <c r="W413" s="258"/>
      <c r="X413" s="258"/>
      <c r="Y413" s="1416"/>
      <c r="Z413" s="258"/>
      <c r="AA413" s="258"/>
      <c r="AB413" s="258"/>
    </row>
    <row r="414" spans="21:28">
      <c r="U414" s="258"/>
      <c r="V414" s="258"/>
      <c r="W414" s="258"/>
      <c r="X414" s="258"/>
      <c r="Y414" s="1416"/>
      <c r="Z414" s="258"/>
      <c r="AA414" s="258"/>
      <c r="AB414" s="258"/>
    </row>
    <row r="415" spans="21:28">
      <c r="U415" s="258"/>
      <c r="V415" s="258"/>
      <c r="W415" s="258"/>
      <c r="X415" s="258"/>
      <c r="Y415" s="1416"/>
      <c r="Z415" s="258"/>
      <c r="AA415" s="258"/>
      <c r="AB415" s="258"/>
    </row>
    <row r="416" spans="21:28">
      <c r="U416" s="258"/>
      <c r="V416" s="258"/>
      <c r="W416" s="258"/>
      <c r="X416" s="258"/>
      <c r="Y416" s="1416"/>
      <c r="Z416" s="258"/>
      <c r="AA416" s="258"/>
      <c r="AB416" s="258"/>
    </row>
    <row r="417" spans="21:28">
      <c r="U417" s="258"/>
      <c r="V417" s="258"/>
      <c r="W417" s="258"/>
      <c r="X417" s="258"/>
      <c r="Y417" s="1416"/>
      <c r="Z417" s="258"/>
      <c r="AA417" s="258"/>
      <c r="AB417" s="258"/>
    </row>
    <row r="418" spans="21:28">
      <c r="U418" s="258"/>
      <c r="V418" s="258"/>
      <c r="W418" s="258"/>
      <c r="X418" s="258"/>
      <c r="Y418" s="1416"/>
      <c r="Z418" s="258"/>
      <c r="AA418" s="258"/>
      <c r="AB418" s="258"/>
    </row>
    <row r="419" spans="21:28">
      <c r="U419" s="258"/>
      <c r="V419" s="258"/>
      <c r="W419" s="258"/>
      <c r="X419" s="258"/>
      <c r="Y419" s="1416"/>
      <c r="Z419" s="258"/>
      <c r="AA419" s="258"/>
      <c r="AB419" s="258"/>
    </row>
    <row r="420" spans="21:28">
      <c r="U420" s="258"/>
      <c r="V420" s="258"/>
      <c r="W420" s="258"/>
      <c r="X420" s="258"/>
      <c r="Y420" s="1416"/>
      <c r="Z420" s="258"/>
      <c r="AA420" s="258"/>
      <c r="AB420" s="258"/>
    </row>
    <row r="421" spans="21:28">
      <c r="U421" s="258"/>
      <c r="V421" s="258"/>
      <c r="W421" s="258"/>
      <c r="X421" s="258"/>
      <c r="Y421" s="1416"/>
      <c r="Z421" s="258"/>
      <c r="AA421" s="258"/>
      <c r="AB421" s="258"/>
    </row>
    <row r="422" spans="21:28">
      <c r="U422" s="258"/>
      <c r="V422" s="258"/>
      <c r="W422" s="258"/>
      <c r="X422" s="258"/>
      <c r="Y422" s="1416"/>
      <c r="Z422" s="258"/>
      <c r="AA422" s="258"/>
      <c r="AB422" s="258"/>
    </row>
    <row r="423" spans="21:28">
      <c r="U423" s="258"/>
      <c r="V423" s="258"/>
      <c r="W423" s="258"/>
      <c r="X423" s="258"/>
      <c r="Y423" s="1416"/>
      <c r="Z423" s="258"/>
      <c r="AA423" s="258"/>
      <c r="AB423" s="258"/>
    </row>
    <row r="424" spans="21:28">
      <c r="U424" s="258"/>
      <c r="V424" s="258"/>
      <c r="W424" s="258"/>
      <c r="X424" s="258"/>
      <c r="Y424" s="1416"/>
      <c r="Z424" s="258"/>
      <c r="AA424" s="258"/>
      <c r="AB424" s="258"/>
    </row>
    <row r="425" spans="21:28">
      <c r="U425" s="258"/>
      <c r="V425" s="258"/>
      <c r="W425" s="258"/>
      <c r="X425" s="258"/>
      <c r="Y425" s="1416"/>
      <c r="Z425" s="258"/>
      <c r="AA425" s="258"/>
      <c r="AB425" s="258"/>
    </row>
    <row r="426" spans="21:28">
      <c r="U426" s="258"/>
      <c r="V426" s="258"/>
      <c r="W426" s="258"/>
      <c r="X426" s="258"/>
      <c r="Y426" s="1416"/>
      <c r="Z426" s="258"/>
      <c r="AA426" s="258"/>
      <c r="AB426" s="258"/>
    </row>
    <row r="427" spans="21:28">
      <c r="U427" s="258"/>
      <c r="V427" s="258"/>
      <c r="W427" s="258"/>
      <c r="X427" s="258"/>
      <c r="Y427" s="1416"/>
      <c r="Z427" s="258"/>
      <c r="AA427" s="258"/>
      <c r="AB427" s="258"/>
    </row>
    <row r="428" spans="21:28">
      <c r="U428" s="258"/>
      <c r="V428" s="258"/>
      <c r="W428" s="258"/>
      <c r="X428" s="258"/>
      <c r="Y428" s="1416"/>
      <c r="Z428" s="258"/>
      <c r="AA428" s="258"/>
      <c r="AB428" s="258"/>
    </row>
    <row r="429" spans="21:28">
      <c r="U429" s="258"/>
      <c r="V429" s="258"/>
      <c r="W429" s="258"/>
      <c r="X429" s="258"/>
      <c r="Y429" s="1416"/>
      <c r="Z429" s="258"/>
      <c r="AA429" s="258"/>
      <c r="AB429" s="258"/>
    </row>
    <row r="430" spans="21:28">
      <c r="U430" s="258"/>
      <c r="V430" s="258"/>
      <c r="W430" s="258"/>
      <c r="X430" s="258"/>
      <c r="Y430" s="1416"/>
      <c r="Z430" s="258"/>
      <c r="AA430" s="258"/>
      <c r="AB430" s="258"/>
    </row>
    <row r="431" spans="21:28">
      <c r="U431" s="258"/>
      <c r="V431" s="258"/>
      <c r="W431" s="258"/>
      <c r="X431" s="258"/>
      <c r="Y431" s="1416"/>
      <c r="Z431" s="258"/>
      <c r="AA431" s="258"/>
      <c r="AB431" s="258"/>
    </row>
    <row r="432" spans="21:28">
      <c r="U432" s="258"/>
      <c r="V432" s="258"/>
      <c r="W432" s="258"/>
      <c r="X432" s="258"/>
      <c r="Y432" s="1416"/>
      <c r="Z432" s="258"/>
      <c r="AA432" s="258"/>
      <c r="AB432" s="258"/>
    </row>
    <row r="433" spans="21:28">
      <c r="U433" s="258"/>
      <c r="V433" s="258"/>
      <c r="W433" s="258"/>
      <c r="X433" s="258"/>
      <c r="Y433" s="1416"/>
      <c r="Z433" s="258"/>
      <c r="AA433" s="258"/>
      <c r="AB433" s="258"/>
    </row>
    <row r="434" spans="21:28">
      <c r="U434" s="258"/>
      <c r="V434" s="258"/>
      <c r="W434" s="258"/>
      <c r="X434" s="258"/>
      <c r="Y434" s="1416"/>
      <c r="Z434" s="258"/>
      <c r="AA434" s="258"/>
      <c r="AB434" s="258"/>
    </row>
    <row r="435" spans="21:28">
      <c r="U435" s="258"/>
      <c r="V435" s="258"/>
      <c r="W435" s="258"/>
      <c r="X435" s="258"/>
      <c r="Y435" s="1416"/>
      <c r="Z435" s="258"/>
      <c r="AA435" s="258"/>
      <c r="AB435" s="258"/>
    </row>
    <row r="436" spans="21:28">
      <c r="U436" s="258"/>
      <c r="V436" s="258"/>
      <c r="W436" s="258"/>
      <c r="X436" s="258"/>
      <c r="Y436" s="1416"/>
      <c r="Z436" s="258"/>
      <c r="AA436" s="258"/>
      <c r="AB436" s="258"/>
    </row>
    <row r="437" spans="21:28">
      <c r="U437" s="258"/>
      <c r="V437" s="258"/>
      <c r="W437" s="258"/>
      <c r="X437" s="258"/>
      <c r="Y437" s="1416"/>
      <c r="Z437" s="258"/>
      <c r="AA437" s="258"/>
      <c r="AB437" s="258"/>
    </row>
    <row r="438" spans="21:28">
      <c r="U438" s="258"/>
      <c r="V438" s="258"/>
      <c r="W438" s="258"/>
      <c r="X438" s="258"/>
      <c r="Y438" s="1416"/>
      <c r="Z438" s="258"/>
      <c r="AA438" s="258"/>
      <c r="AB438" s="258"/>
    </row>
    <row r="439" spans="21:28">
      <c r="U439" s="258"/>
      <c r="V439" s="258"/>
      <c r="W439" s="258"/>
      <c r="X439" s="258"/>
      <c r="Y439" s="1416"/>
      <c r="Z439" s="258"/>
      <c r="AA439" s="258"/>
      <c r="AB439" s="258"/>
    </row>
    <row r="440" spans="21:28">
      <c r="U440" s="258"/>
      <c r="V440" s="258"/>
      <c r="W440" s="258"/>
      <c r="X440" s="258"/>
      <c r="Y440" s="1416"/>
      <c r="Z440" s="258"/>
      <c r="AA440" s="258"/>
      <c r="AB440" s="258"/>
    </row>
    <row r="441" spans="21:28">
      <c r="U441" s="258"/>
      <c r="V441" s="258"/>
      <c r="W441" s="258"/>
      <c r="X441" s="258"/>
      <c r="Y441" s="1416"/>
      <c r="Z441" s="258"/>
      <c r="AA441" s="258"/>
      <c r="AB441" s="258"/>
    </row>
    <row r="442" spans="21:28">
      <c r="U442" s="258"/>
      <c r="V442" s="258"/>
      <c r="W442" s="258"/>
      <c r="X442" s="258"/>
      <c r="Y442" s="1416"/>
      <c r="Z442" s="258"/>
      <c r="AA442" s="258"/>
      <c r="AB442" s="258"/>
    </row>
    <row r="443" spans="21:28">
      <c r="U443" s="258"/>
      <c r="V443" s="258"/>
      <c r="W443" s="258"/>
      <c r="X443" s="258"/>
      <c r="Y443" s="1416"/>
      <c r="Z443" s="258"/>
      <c r="AA443" s="258"/>
      <c r="AB443" s="258"/>
    </row>
    <row r="444" spans="21:28">
      <c r="U444" s="258"/>
      <c r="V444" s="258"/>
      <c r="W444" s="258"/>
      <c r="X444" s="258"/>
      <c r="Y444" s="1416"/>
      <c r="Z444" s="258"/>
      <c r="AA444" s="258"/>
      <c r="AB444" s="258"/>
    </row>
    <row r="445" spans="21:28">
      <c r="U445" s="258"/>
      <c r="V445" s="258"/>
      <c r="W445" s="258"/>
      <c r="X445" s="258"/>
      <c r="Y445" s="1416"/>
      <c r="Z445" s="258"/>
      <c r="AA445" s="258"/>
      <c r="AB445" s="258"/>
    </row>
    <row r="446" spans="21:28">
      <c r="U446" s="258"/>
      <c r="V446" s="258"/>
      <c r="W446" s="258"/>
      <c r="X446" s="258"/>
      <c r="Y446" s="1416"/>
      <c r="Z446" s="258"/>
      <c r="AA446" s="258"/>
      <c r="AB446" s="258"/>
    </row>
    <row r="447" spans="21:28">
      <c r="U447" s="258"/>
      <c r="V447" s="258"/>
      <c r="W447" s="258"/>
      <c r="X447" s="258"/>
      <c r="Y447" s="1416"/>
      <c r="Z447" s="258"/>
      <c r="AA447" s="258"/>
      <c r="AB447" s="258"/>
    </row>
    <row r="448" spans="21:28">
      <c r="U448" s="258"/>
      <c r="V448" s="258"/>
      <c r="W448" s="258"/>
      <c r="X448" s="258"/>
      <c r="Y448" s="1416"/>
      <c r="Z448" s="258"/>
      <c r="AA448" s="258"/>
      <c r="AB448" s="258"/>
    </row>
    <row r="449" spans="21:28">
      <c r="U449" s="258"/>
      <c r="V449" s="258"/>
      <c r="W449" s="258"/>
      <c r="X449" s="258"/>
      <c r="Y449" s="1416"/>
      <c r="Z449" s="258"/>
      <c r="AA449" s="258"/>
      <c r="AB449" s="258"/>
    </row>
    <row r="450" spans="21:28">
      <c r="U450" s="258"/>
      <c r="V450" s="258"/>
      <c r="W450" s="258"/>
      <c r="X450" s="258"/>
      <c r="Y450" s="1416"/>
      <c r="Z450" s="258"/>
      <c r="AA450" s="258"/>
      <c r="AB450" s="258"/>
    </row>
    <row r="451" spans="21:28">
      <c r="U451" s="258"/>
      <c r="V451" s="258"/>
      <c r="W451" s="258"/>
      <c r="X451" s="258"/>
      <c r="Y451" s="1416"/>
      <c r="Z451" s="258"/>
      <c r="AA451" s="258"/>
      <c r="AB451" s="258"/>
    </row>
    <row r="452" spans="21:28">
      <c r="U452" s="258"/>
      <c r="V452" s="258"/>
      <c r="W452" s="258"/>
      <c r="X452" s="258"/>
      <c r="Y452" s="1416"/>
      <c r="Z452" s="258"/>
      <c r="AA452" s="258"/>
      <c r="AB452" s="258"/>
    </row>
    <row r="453" spans="21:28">
      <c r="U453" s="258"/>
      <c r="V453" s="258"/>
      <c r="W453" s="258"/>
      <c r="X453" s="258"/>
      <c r="Y453" s="1416"/>
      <c r="Z453" s="258"/>
      <c r="AA453" s="258"/>
      <c r="AB453" s="258"/>
    </row>
    <row r="454" spans="21:28">
      <c r="U454" s="258"/>
      <c r="V454" s="258"/>
      <c r="W454" s="258"/>
      <c r="X454" s="258"/>
      <c r="Y454" s="1416"/>
      <c r="Z454" s="258"/>
      <c r="AA454" s="258"/>
      <c r="AB454" s="258"/>
    </row>
    <row r="455" spans="21:28">
      <c r="U455" s="258"/>
      <c r="V455" s="258"/>
      <c r="W455" s="258"/>
      <c r="X455" s="258"/>
      <c r="Y455" s="1416"/>
      <c r="Z455" s="258"/>
      <c r="AA455" s="258"/>
      <c r="AB455" s="258"/>
    </row>
    <row r="456" spans="21:28">
      <c r="U456" s="258"/>
      <c r="V456" s="258"/>
      <c r="W456" s="258"/>
      <c r="X456" s="258"/>
      <c r="Y456" s="1416"/>
      <c r="Z456" s="258"/>
      <c r="AA456" s="258"/>
      <c r="AB456" s="258"/>
    </row>
    <row r="457" spans="21:28">
      <c r="U457" s="258"/>
      <c r="V457" s="258"/>
      <c r="W457" s="258"/>
      <c r="X457" s="258"/>
      <c r="Y457" s="1416"/>
      <c r="Z457" s="258"/>
      <c r="AA457" s="258"/>
      <c r="AB457" s="258"/>
    </row>
    <row r="458" spans="21:28">
      <c r="U458" s="258"/>
      <c r="V458" s="258"/>
      <c r="W458" s="258"/>
      <c r="X458" s="258"/>
      <c r="Y458" s="1416"/>
      <c r="Z458" s="258"/>
      <c r="AA458" s="258"/>
      <c r="AB458" s="258"/>
    </row>
    <row r="459" spans="21:28">
      <c r="U459" s="258"/>
      <c r="V459" s="258"/>
      <c r="W459" s="258"/>
      <c r="X459" s="258"/>
      <c r="Y459" s="1416"/>
      <c r="Z459" s="258"/>
      <c r="AA459" s="258"/>
      <c r="AB459" s="258"/>
    </row>
    <row r="460" spans="21:28">
      <c r="U460" s="258"/>
      <c r="V460" s="258"/>
      <c r="W460" s="258"/>
      <c r="X460" s="258"/>
      <c r="Y460" s="1416"/>
      <c r="Z460" s="258"/>
      <c r="AA460" s="258"/>
      <c r="AB460" s="258"/>
    </row>
    <row r="461" spans="21:28">
      <c r="U461" s="258"/>
      <c r="V461" s="258"/>
      <c r="W461" s="258"/>
      <c r="X461" s="258"/>
      <c r="Y461" s="1416"/>
      <c r="Z461" s="258"/>
      <c r="AA461" s="258"/>
      <c r="AB461" s="258"/>
    </row>
    <row r="462" spans="21:28">
      <c r="U462" s="258"/>
      <c r="V462" s="258"/>
      <c r="W462" s="258"/>
      <c r="X462" s="258"/>
      <c r="Y462" s="1416"/>
      <c r="Z462" s="258"/>
      <c r="AA462" s="258"/>
      <c r="AB462" s="258"/>
    </row>
    <row r="463" spans="21:28">
      <c r="U463" s="258"/>
      <c r="V463" s="258"/>
      <c r="W463" s="258"/>
      <c r="X463" s="258"/>
      <c r="Y463" s="1416"/>
      <c r="Z463" s="258"/>
      <c r="AA463" s="258"/>
      <c r="AB463" s="258"/>
    </row>
    <row r="464" spans="21:28">
      <c r="U464" s="258"/>
      <c r="V464" s="258"/>
      <c r="W464" s="258"/>
      <c r="X464" s="258"/>
      <c r="Y464" s="1416"/>
      <c r="Z464" s="258"/>
      <c r="AA464" s="258"/>
      <c r="AB464" s="258"/>
    </row>
    <row r="465" spans="21:28">
      <c r="U465" s="258"/>
      <c r="V465" s="258"/>
      <c r="W465" s="258"/>
      <c r="X465" s="258"/>
      <c r="Y465" s="1416"/>
      <c r="Z465" s="258"/>
      <c r="AA465" s="258"/>
      <c r="AB465" s="258"/>
    </row>
    <row r="466" spans="21:28">
      <c r="U466" s="258"/>
      <c r="V466" s="258"/>
      <c r="W466" s="258"/>
      <c r="X466" s="258"/>
      <c r="Y466" s="1416"/>
      <c r="Z466" s="258"/>
      <c r="AA466" s="258"/>
      <c r="AB466" s="258"/>
    </row>
    <row r="467" spans="21:28">
      <c r="U467" s="258"/>
      <c r="V467" s="258"/>
      <c r="W467" s="258"/>
      <c r="X467" s="258"/>
      <c r="Y467" s="1416"/>
      <c r="Z467" s="258"/>
      <c r="AA467" s="258"/>
      <c r="AB467" s="258"/>
    </row>
    <row r="468" spans="21:28">
      <c r="U468" s="258"/>
      <c r="V468" s="258"/>
      <c r="W468" s="258"/>
      <c r="X468" s="258"/>
      <c r="Y468" s="1416"/>
      <c r="Z468" s="258"/>
      <c r="AA468" s="258"/>
      <c r="AB468" s="258"/>
    </row>
    <row r="469" spans="21:28">
      <c r="U469" s="258"/>
      <c r="V469" s="258"/>
      <c r="W469" s="258"/>
      <c r="X469" s="258"/>
      <c r="Y469" s="1416"/>
      <c r="Z469" s="258"/>
      <c r="AA469" s="258"/>
      <c r="AB469" s="258"/>
    </row>
    <row r="470" spans="21:28">
      <c r="U470" s="258"/>
      <c r="V470" s="258"/>
      <c r="W470" s="258"/>
      <c r="X470" s="258"/>
      <c r="Y470" s="1416"/>
      <c r="Z470" s="258"/>
      <c r="AA470" s="258"/>
      <c r="AB470" s="258"/>
    </row>
    <row r="471" spans="21:28">
      <c r="U471" s="258"/>
      <c r="V471" s="258"/>
      <c r="W471" s="258"/>
      <c r="X471" s="258"/>
      <c r="Y471" s="1416"/>
      <c r="Z471" s="258"/>
      <c r="AA471" s="258"/>
      <c r="AB471" s="258"/>
    </row>
    <row r="472" spans="21:28">
      <c r="U472" s="258"/>
      <c r="V472" s="258"/>
      <c r="W472" s="258"/>
      <c r="X472" s="258"/>
      <c r="Y472" s="1416"/>
      <c r="Z472" s="258"/>
      <c r="AA472" s="258"/>
      <c r="AB472" s="258"/>
    </row>
    <row r="473" spans="21:28">
      <c r="U473" s="258"/>
      <c r="V473" s="258"/>
      <c r="W473" s="258"/>
      <c r="X473" s="258"/>
      <c r="Y473" s="1416"/>
      <c r="Z473" s="258"/>
      <c r="AA473" s="258"/>
      <c r="AB473" s="258"/>
    </row>
    <row r="474" spans="21:28">
      <c r="U474" s="258"/>
      <c r="V474" s="258"/>
      <c r="W474" s="258"/>
      <c r="X474" s="258"/>
      <c r="Y474" s="1416"/>
      <c r="Z474" s="258"/>
      <c r="AA474" s="258"/>
      <c r="AB474" s="258"/>
    </row>
    <row r="475" spans="21:28">
      <c r="U475" s="258"/>
      <c r="V475" s="258"/>
      <c r="W475" s="258"/>
      <c r="X475" s="258"/>
      <c r="Y475" s="1416"/>
      <c r="Z475" s="258"/>
      <c r="AA475" s="258"/>
      <c r="AB475" s="258"/>
    </row>
    <row r="476" spans="21:28">
      <c r="U476" s="258"/>
      <c r="V476" s="258"/>
      <c r="W476" s="258"/>
      <c r="X476" s="258"/>
      <c r="Y476" s="1416"/>
      <c r="Z476" s="258"/>
      <c r="AA476" s="258"/>
      <c r="AB476" s="258"/>
    </row>
    <row r="477" spans="21:28">
      <c r="U477" s="258"/>
      <c r="V477" s="258"/>
      <c r="W477" s="258"/>
      <c r="X477" s="258"/>
      <c r="Y477" s="1416"/>
      <c r="Z477" s="258"/>
      <c r="AA477" s="258"/>
      <c r="AB477" s="258"/>
    </row>
    <row r="478" spans="21:28">
      <c r="U478" s="258"/>
      <c r="V478" s="258"/>
      <c r="W478" s="258"/>
      <c r="X478" s="258"/>
      <c r="Y478" s="1416"/>
      <c r="Z478" s="258"/>
      <c r="AA478" s="258"/>
      <c r="AB478" s="258"/>
    </row>
    <row r="479" spans="21:28">
      <c r="U479" s="258"/>
      <c r="V479" s="258"/>
      <c r="W479" s="258"/>
      <c r="X479" s="258"/>
      <c r="Y479" s="1416"/>
      <c r="Z479" s="258"/>
      <c r="AA479" s="258"/>
      <c r="AB479" s="258"/>
    </row>
    <row r="480" spans="21:28">
      <c r="U480" s="258"/>
      <c r="V480" s="258"/>
      <c r="W480" s="258"/>
      <c r="X480" s="258"/>
      <c r="Y480" s="1416"/>
      <c r="Z480" s="258"/>
      <c r="AA480" s="258"/>
      <c r="AB480" s="258"/>
    </row>
    <row r="481" spans="21:28">
      <c r="U481" s="258"/>
      <c r="V481" s="258"/>
      <c r="W481" s="258"/>
      <c r="X481" s="258"/>
      <c r="Y481" s="1416"/>
      <c r="Z481" s="258"/>
      <c r="AA481" s="258"/>
      <c r="AB481" s="258"/>
    </row>
    <row r="482" spans="21:28">
      <c r="U482" s="258"/>
      <c r="V482" s="258"/>
      <c r="W482" s="258"/>
      <c r="X482" s="258"/>
      <c r="Y482" s="1416"/>
      <c r="Z482" s="258"/>
      <c r="AA482" s="258"/>
      <c r="AB482" s="258"/>
    </row>
    <row r="483" spans="21:28">
      <c r="U483" s="258"/>
      <c r="V483" s="258"/>
      <c r="W483" s="258"/>
      <c r="X483" s="258"/>
      <c r="Y483" s="1416"/>
      <c r="Z483" s="258"/>
      <c r="AA483" s="258"/>
      <c r="AB483" s="258"/>
    </row>
    <row r="484" spans="21:28">
      <c r="U484" s="258"/>
      <c r="V484" s="258"/>
      <c r="W484" s="258"/>
      <c r="X484" s="258"/>
      <c r="Y484" s="1416"/>
      <c r="Z484" s="258"/>
      <c r="AA484" s="258"/>
      <c r="AB484" s="258"/>
    </row>
    <row r="485" spans="21:28">
      <c r="U485" s="258"/>
      <c r="V485" s="258"/>
      <c r="W485" s="258"/>
      <c r="X485" s="258"/>
      <c r="Y485" s="1416"/>
      <c r="Z485" s="258"/>
      <c r="AA485" s="258"/>
      <c r="AB485" s="258"/>
    </row>
    <row r="486" spans="21:28">
      <c r="U486" s="258"/>
      <c r="V486" s="258"/>
      <c r="W486" s="258"/>
      <c r="X486" s="258"/>
      <c r="Y486" s="1416"/>
      <c r="Z486" s="258"/>
      <c r="AA486" s="258"/>
      <c r="AB486" s="258"/>
    </row>
    <row r="487" spans="21:28">
      <c r="U487" s="258"/>
      <c r="V487" s="258"/>
      <c r="W487" s="258"/>
      <c r="X487" s="258"/>
      <c r="Y487" s="1416"/>
      <c r="Z487" s="258"/>
      <c r="AA487" s="258"/>
      <c r="AB487" s="258"/>
    </row>
    <row r="488" spans="21:28">
      <c r="U488" s="258"/>
      <c r="V488" s="258"/>
      <c r="W488" s="258"/>
      <c r="X488" s="258"/>
      <c r="Y488" s="1416"/>
      <c r="Z488" s="258"/>
      <c r="AA488" s="258"/>
      <c r="AB488" s="258"/>
    </row>
    <row r="489" spans="21:28">
      <c r="U489" s="258"/>
      <c r="V489" s="258"/>
      <c r="W489" s="258"/>
      <c r="X489" s="258"/>
      <c r="Y489" s="1416"/>
      <c r="Z489" s="258"/>
      <c r="AA489" s="258"/>
      <c r="AB489" s="258"/>
    </row>
    <row r="490" spans="21:28">
      <c r="U490" s="258"/>
      <c r="V490" s="258"/>
      <c r="W490" s="258"/>
      <c r="X490" s="258"/>
      <c r="Y490" s="1416"/>
      <c r="Z490" s="258"/>
      <c r="AA490" s="258"/>
      <c r="AB490" s="258"/>
    </row>
    <row r="491" spans="21:28">
      <c r="U491" s="258"/>
      <c r="V491" s="258"/>
      <c r="W491" s="258"/>
      <c r="X491" s="258"/>
      <c r="Y491" s="1416"/>
      <c r="Z491" s="258"/>
      <c r="AA491" s="258"/>
      <c r="AB491" s="258"/>
    </row>
    <row r="492" spans="21:28">
      <c r="U492" s="258"/>
      <c r="V492" s="258"/>
      <c r="W492" s="258"/>
      <c r="X492" s="258"/>
      <c r="Y492" s="1416"/>
      <c r="Z492" s="258"/>
      <c r="AA492" s="258"/>
      <c r="AB492" s="258"/>
    </row>
    <row r="493" spans="21:28">
      <c r="U493" s="258"/>
      <c r="V493" s="258"/>
      <c r="W493" s="258"/>
      <c r="X493" s="258"/>
      <c r="Y493" s="1416"/>
      <c r="Z493" s="258"/>
      <c r="AA493" s="258"/>
      <c r="AB493" s="258"/>
    </row>
    <row r="494" spans="21:28">
      <c r="U494" s="258"/>
      <c r="V494" s="258"/>
      <c r="W494" s="258"/>
      <c r="X494" s="258"/>
      <c r="Y494" s="1416"/>
      <c r="Z494" s="258"/>
      <c r="AA494" s="258"/>
      <c r="AB494" s="258"/>
    </row>
    <row r="495" spans="21:28">
      <c r="U495" s="258"/>
      <c r="V495" s="258"/>
      <c r="W495" s="258"/>
      <c r="X495" s="258"/>
      <c r="Y495" s="1416"/>
      <c r="Z495" s="258"/>
      <c r="AA495" s="258"/>
      <c r="AB495" s="258"/>
    </row>
    <row r="496" spans="21:28">
      <c r="U496" s="258"/>
      <c r="V496" s="258"/>
      <c r="W496" s="258"/>
      <c r="X496" s="258"/>
      <c r="Y496" s="1416"/>
      <c r="Z496" s="258"/>
      <c r="AA496" s="258"/>
      <c r="AB496" s="258"/>
    </row>
    <row r="497" spans="21:28">
      <c r="U497" s="258"/>
      <c r="V497" s="258"/>
      <c r="W497" s="258"/>
      <c r="X497" s="258"/>
      <c r="Y497" s="1416"/>
      <c r="Z497" s="258"/>
      <c r="AA497" s="258"/>
      <c r="AB497" s="258"/>
    </row>
    <row r="498" spans="21:28">
      <c r="U498" s="258"/>
      <c r="V498" s="258"/>
      <c r="W498" s="258"/>
      <c r="X498" s="258"/>
      <c r="Y498" s="1416"/>
      <c r="Z498" s="258"/>
      <c r="AA498" s="258"/>
      <c r="AB498" s="258"/>
    </row>
    <row r="499" spans="21:28">
      <c r="U499" s="258"/>
      <c r="V499" s="258"/>
      <c r="W499" s="258"/>
      <c r="X499" s="258"/>
      <c r="Y499" s="1416"/>
      <c r="Z499" s="258"/>
      <c r="AA499" s="258"/>
      <c r="AB499" s="258"/>
    </row>
    <row r="500" spans="21:28">
      <c r="U500" s="258"/>
      <c r="V500" s="258"/>
      <c r="W500" s="258"/>
      <c r="X500" s="258"/>
      <c r="Y500" s="1416"/>
      <c r="Z500" s="258"/>
      <c r="AA500" s="258"/>
      <c r="AB500" s="258"/>
    </row>
    <row r="501" spans="21:28">
      <c r="U501" s="258"/>
      <c r="V501" s="258"/>
      <c r="W501" s="258"/>
      <c r="X501" s="258"/>
      <c r="Y501" s="1416"/>
      <c r="Z501" s="258"/>
      <c r="AA501" s="258"/>
      <c r="AB501" s="258"/>
    </row>
    <row r="502" spans="21:28">
      <c r="U502" s="258"/>
      <c r="V502" s="258"/>
      <c r="W502" s="258"/>
      <c r="X502" s="258"/>
      <c r="Y502" s="1416"/>
      <c r="Z502" s="258"/>
      <c r="AA502" s="258"/>
      <c r="AB502" s="258"/>
    </row>
    <row r="503" spans="21:28">
      <c r="U503" s="258"/>
      <c r="V503" s="258"/>
      <c r="W503" s="258"/>
      <c r="X503" s="258"/>
      <c r="Y503" s="1416"/>
      <c r="Z503" s="258"/>
      <c r="AA503" s="258"/>
      <c r="AB503" s="258"/>
    </row>
    <row r="504" spans="21:28">
      <c r="U504" s="258"/>
      <c r="V504" s="258"/>
      <c r="W504" s="258"/>
      <c r="X504" s="258"/>
      <c r="Y504" s="1416"/>
      <c r="Z504" s="258"/>
      <c r="AA504" s="258"/>
      <c r="AB504" s="258"/>
    </row>
    <row r="505" spans="21:28">
      <c r="U505" s="258"/>
      <c r="V505" s="258"/>
      <c r="W505" s="258"/>
      <c r="X505" s="258"/>
      <c r="Y505" s="1416"/>
      <c r="Z505" s="258"/>
      <c r="AA505" s="258"/>
      <c r="AB505" s="258"/>
    </row>
    <row r="506" spans="21:28">
      <c r="U506" s="258"/>
      <c r="V506" s="258"/>
      <c r="W506" s="258"/>
      <c r="X506" s="258"/>
      <c r="Y506" s="1416"/>
      <c r="Z506" s="258"/>
      <c r="AA506" s="258"/>
      <c r="AB506" s="258"/>
    </row>
    <row r="507" spans="21:28">
      <c r="U507" s="258"/>
      <c r="V507" s="258"/>
      <c r="W507" s="258"/>
      <c r="X507" s="258"/>
      <c r="Y507" s="1416"/>
      <c r="Z507" s="258"/>
      <c r="AA507" s="258"/>
      <c r="AB507" s="258"/>
    </row>
    <row r="508" spans="21:28">
      <c r="U508" s="258"/>
      <c r="V508" s="258"/>
      <c r="W508" s="258"/>
      <c r="X508" s="258"/>
      <c r="Y508" s="1416"/>
      <c r="Z508" s="258"/>
      <c r="AA508" s="258"/>
      <c r="AB508" s="258"/>
    </row>
    <row r="509" spans="21:28">
      <c r="U509" s="258"/>
      <c r="V509" s="258"/>
      <c r="W509" s="258"/>
      <c r="X509" s="258"/>
      <c r="Y509" s="1416"/>
      <c r="Z509" s="258"/>
      <c r="AA509" s="258"/>
      <c r="AB509" s="258"/>
    </row>
    <row r="510" spans="21:28">
      <c r="U510" s="258"/>
      <c r="V510" s="258"/>
      <c r="W510" s="258"/>
      <c r="X510" s="258"/>
      <c r="Y510" s="1416"/>
      <c r="Z510" s="258"/>
      <c r="AA510" s="258"/>
      <c r="AB510" s="258"/>
    </row>
    <row r="511" spans="21:28">
      <c r="U511" s="258"/>
      <c r="V511" s="258"/>
      <c r="W511" s="258"/>
      <c r="X511" s="258"/>
      <c r="Y511" s="1416"/>
      <c r="Z511" s="258"/>
      <c r="AA511" s="258"/>
      <c r="AB511" s="258"/>
    </row>
    <row r="512" spans="21:28">
      <c r="U512" s="258"/>
      <c r="V512" s="258"/>
      <c r="W512" s="258"/>
      <c r="X512" s="258"/>
      <c r="Y512" s="1416"/>
      <c r="Z512" s="258"/>
      <c r="AA512" s="258"/>
      <c r="AB512" s="258"/>
    </row>
    <row r="513" spans="21:28">
      <c r="U513" s="258"/>
      <c r="V513" s="258"/>
      <c r="W513" s="258"/>
      <c r="X513" s="258"/>
      <c r="Y513" s="1416"/>
      <c r="Z513" s="258"/>
      <c r="AA513" s="258"/>
      <c r="AB513" s="258"/>
    </row>
    <row r="514" spans="21:28">
      <c r="U514" s="258"/>
      <c r="V514" s="258"/>
      <c r="W514" s="258"/>
      <c r="X514" s="258"/>
      <c r="Y514" s="1416"/>
      <c r="Z514" s="258"/>
      <c r="AA514" s="258"/>
      <c r="AB514" s="258"/>
    </row>
    <row r="515" spans="21:28">
      <c r="U515" s="258"/>
      <c r="V515" s="258"/>
      <c r="W515" s="258"/>
      <c r="X515" s="258"/>
      <c r="Y515" s="1416"/>
      <c r="Z515" s="258"/>
      <c r="AA515" s="258"/>
      <c r="AB515" s="258"/>
    </row>
    <row r="516" spans="21:28">
      <c r="U516" s="258"/>
      <c r="V516" s="258"/>
      <c r="W516" s="258"/>
      <c r="X516" s="258"/>
      <c r="Y516" s="1416"/>
      <c r="Z516" s="258"/>
      <c r="AA516" s="258"/>
      <c r="AB516" s="258"/>
    </row>
    <row r="517" spans="21:28">
      <c r="U517" s="258"/>
      <c r="V517" s="258"/>
      <c r="W517" s="258"/>
      <c r="X517" s="258"/>
      <c r="Y517" s="1416"/>
      <c r="Z517" s="258"/>
      <c r="AA517" s="258"/>
      <c r="AB517" s="258"/>
    </row>
    <row r="518" spans="21:28">
      <c r="U518" s="258"/>
      <c r="V518" s="258"/>
      <c r="W518" s="258"/>
      <c r="X518" s="258"/>
      <c r="Y518" s="1416"/>
      <c r="Z518" s="258"/>
      <c r="AA518" s="258"/>
      <c r="AB518" s="258"/>
    </row>
    <row r="519" spans="21:28">
      <c r="U519" s="258"/>
      <c r="V519" s="258"/>
      <c r="W519" s="258"/>
      <c r="X519" s="258"/>
      <c r="Y519" s="1416"/>
      <c r="Z519" s="258"/>
      <c r="AA519" s="258"/>
      <c r="AB519" s="258"/>
    </row>
    <row r="520" spans="21:28">
      <c r="U520" s="258"/>
      <c r="V520" s="258"/>
      <c r="W520" s="258"/>
      <c r="X520" s="258"/>
      <c r="Y520" s="1416"/>
      <c r="Z520" s="258"/>
      <c r="AA520" s="258"/>
      <c r="AB520" s="258"/>
    </row>
    <row r="521" spans="21:28">
      <c r="U521" s="258"/>
      <c r="V521" s="258"/>
      <c r="W521" s="258"/>
      <c r="X521" s="258"/>
      <c r="Y521" s="1416"/>
      <c r="Z521" s="258"/>
      <c r="AA521" s="258"/>
      <c r="AB521" s="258"/>
    </row>
    <row r="522" spans="21:28">
      <c r="U522" s="258"/>
      <c r="V522" s="258"/>
      <c r="W522" s="258"/>
      <c r="X522" s="258"/>
      <c r="Y522" s="1416"/>
      <c r="Z522" s="258"/>
      <c r="AA522" s="258"/>
      <c r="AB522" s="258"/>
    </row>
    <row r="523" spans="21:28">
      <c r="U523" s="258"/>
      <c r="V523" s="258"/>
      <c r="W523" s="258"/>
      <c r="X523" s="258"/>
      <c r="Y523" s="1416"/>
      <c r="Z523" s="258"/>
      <c r="AA523" s="258"/>
      <c r="AB523" s="258"/>
    </row>
    <row r="524" spans="21:28">
      <c r="U524" s="258"/>
      <c r="V524" s="258"/>
      <c r="W524" s="258"/>
      <c r="X524" s="258"/>
      <c r="Y524" s="1416"/>
      <c r="Z524" s="258"/>
      <c r="AA524" s="258"/>
      <c r="AB524" s="258"/>
    </row>
    <row r="525" spans="21:28">
      <c r="U525" s="258"/>
      <c r="V525" s="258"/>
      <c r="W525" s="258"/>
      <c r="X525" s="258"/>
      <c r="Y525" s="1416"/>
      <c r="Z525" s="258"/>
      <c r="AA525" s="258"/>
      <c r="AB525" s="258"/>
    </row>
    <row r="526" spans="21:28">
      <c r="U526" s="258"/>
      <c r="V526" s="258"/>
      <c r="W526" s="258"/>
      <c r="X526" s="258"/>
      <c r="Y526" s="1416"/>
      <c r="Z526" s="258"/>
      <c r="AA526" s="258"/>
      <c r="AB526" s="258"/>
    </row>
    <row r="527" spans="21:28">
      <c r="U527" s="258"/>
      <c r="V527" s="258"/>
      <c r="W527" s="258"/>
      <c r="X527" s="258"/>
      <c r="Y527" s="1416"/>
      <c r="Z527" s="258"/>
      <c r="AA527" s="258"/>
      <c r="AB527" s="258"/>
    </row>
    <row r="528" spans="21:28">
      <c r="U528" s="258"/>
      <c r="V528" s="258"/>
      <c r="W528" s="258"/>
      <c r="X528" s="258"/>
      <c r="Y528" s="1416"/>
      <c r="Z528" s="258"/>
      <c r="AA528" s="258"/>
      <c r="AB528" s="258"/>
    </row>
    <row r="529" spans="21:28">
      <c r="U529" s="258"/>
      <c r="V529" s="258"/>
      <c r="W529" s="258"/>
      <c r="X529" s="258"/>
      <c r="Y529" s="1416"/>
      <c r="Z529" s="258"/>
      <c r="AA529" s="258"/>
      <c r="AB529" s="258"/>
    </row>
    <row r="530" spans="21:28">
      <c r="U530" s="258"/>
      <c r="V530" s="258"/>
      <c r="W530" s="258"/>
      <c r="X530" s="258"/>
      <c r="Y530" s="1416"/>
      <c r="Z530" s="258"/>
      <c r="AA530" s="258"/>
      <c r="AB530" s="258"/>
    </row>
    <row r="531" spans="21:28">
      <c r="U531" s="258"/>
      <c r="V531" s="258"/>
      <c r="W531" s="258"/>
      <c r="X531" s="258"/>
      <c r="Y531" s="1416"/>
      <c r="Z531" s="258"/>
      <c r="AA531" s="258"/>
      <c r="AB531" s="258"/>
    </row>
    <row r="532" spans="21:28">
      <c r="U532" s="258"/>
      <c r="V532" s="258"/>
      <c r="W532" s="258"/>
      <c r="X532" s="258"/>
      <c r="Y532" s="1416"/>
      <c r="Z532" s="258"/>
      <c r="AA532" s="258"/>
      <c r="AB532" s="258"/>
    </row>
    <row r="533" spans="21:28">
      <c r="U533" s="258"/>
      <c r="V533" s="258"/>
      <c r="W533" s="258"/>
      <c r="X533" s="258"/>
      <c r="Y533" s="1416"/>
      <c r="Z533" s="258"/>
      <c r="AA533" s="258"/>
      <c r="AB533" s="258"/>
    </row>
    <row r="534" spans="21:28">
      <c r="U534" s="258"/>
      <c r="V534" s="258"/>
      <c r="W534" s="258"/>
      <c r="X534" s="258"/>
      <c r="Y534" s="1416"/>
      <c r="Z534" s="258"/>
      <c r="AA534" s="258"/>
      <c r="AB534" s="258"/>
    </row>
    <row r="535" spans="21:28">
      <c r="U535" s="258"/>
      <c r="V535" s="258"/>
      <c r="W535" s="258"/>
      <c r="X535" s="258"/>
      <c r="Y535" s="1416"/>
      <c r="Z535" s="258"/>
      <c r="AA535" s="258"/>
      <c r="AB535" s="258"/>
    </row>
    <row r="536" spans="21:28">
      <c r="U536" s="258"/>
      <c r="V536" s="258"/>
      <c r="W536" s="258"/>
      <c r="X536" s="258"/>
      <c r="Y536" s="1416"/>
      <c r="Z536" s="258"/>
      <c r="AA536" s="258"/>
      <c r="AB536" s="258"/>
    </row>
    <row r="537" spans="21:28">
      <c r="U537" s="258"/>
      <c r="V537" s="258"/>
      <c r="W537" s="258"/>
      <c r="X537" s="258"/>
      <c r="Y537" s="1416"/>
      <c r="Z537" s="258"/>
      <c r="AA537" s="258"/>
      <c r="AB537" s="258"/>
    </row>
    <row r="538" spans="21:28">
      <c r="U538" s="258"/>
      <c r="V538" s="258"/>
      <c r="W538" s="258"/>
      <c r="X538" s="258"/>
      <c r="Y538" s="1416"/>
      <c r="Z538" s="258"/>
      <c r="AA538" s="258"/>
      <c r="AB538" s="258"/>
    </row>
    <row r="539" spans="21:28">
      <c r="U539" s="258"/>
      <c r="V539" s="258"/>
      <c r="W539" s="258"/>
      <c r="X539" s="258"/>
      <c r="Y539" s="1416"/>
      <c r="Z539" s="258"/>
      <c r="AA539" s="258"/>
      <c r="AB539" s="258"/>
    </row>
    <row r="540" spans="21:28">
      <c r="U540" s="258"/>
      <c r="V540" s="258"/>
      <c r="W540" s="258"/>
      <c r="X540" s="258"/>
      <c r="Y540" s="1416"/>
      <c r="Z540" s="258"/>
      <c r="AA540" s="258"/>
      <c r="AB540" s="258"/>
    </row>
    <row r="541" spans="21:28">
      <c r="U541" s="258"/>
      <c r="V541" s="258"/>
      <c r="W541" s="258"/>
      <c r="X541" s="258"/>
      <c r="Y541" s="1416"/>
      <c r="Z541" s="258"/>
      <c r="AA541" s="258"/>
      <c r="AB541" s="258"/>
    </row>
    <row r="542" spans="21:28">
      <c r="U542" s="258"/>
      <c r="V542" s="258"/>
      <c r="W542" s="258"/>
      <c r="X542" s="258"/>
      <c r="Y542" s="1416"/>
      <c r="Z542" s="258"/>
      <c r="AA542" s="258"/>
      <c r="AB542" s="258"/>
    </row>
    <row r="543" spans="21:28">
      <c r="U543" s="258"/>
      <c r="V543" s="258"/>
      <c r="W543" s="258"/>
      <c r="X543" s="258"/>
      <c r="Y543" s="1416"/>
      <c r="Z543" s="258"/>
      <c r="AA543" s="258"/>
      <c r="AB543" s="258"/>
    </row>
    <row r="544" spans="21:28">
      <c r="U544" s="258"/>
      <c r="V544" s="258"/>
      <c r="W544" s="258"/>
      <c r="X544" s="258"/>
      <c r="Y544" s="1416"/>
      <c r="Z544" s="258"/>
      <c r="AA544" s="258"/>
      <c r="AB544" s="258"/>
    </row>
    <row r="545" spans="21:28">
      <c r="U545" s="258"/>
      <c r="V545" s="258"/>
      <c r="W545" s="258"/>
      <c r="X545" s="258"/>
      <c r="Y545" s="1416"/>
      <c r="Z545" s="258"/>
      <c r="AA545" s="258"/>
      <c r="AB545" s="258"/>
    </row>
    <row r="546" spans="21:28">
      <c r="U546" s="258"/>
      <c r="V546" s="258"/>
      <c r="W546" s="258"/>
      <c r="X546" s="258"/>
      <c r="Y546" s="1416"/>
      <c r="Z546" s="258"/>
      <c r="AA546" s="258"/>
      <c r="AB546" s="258"/>
    </row>
    <row r="547" spans="21:28">
      <c r="U547" s="258"/>
      <c r="V547" s="258"/>
      <c r="W547" s="258"/>
      <c r="X547" s="258"/>
      <c r="Y547" s="1416"/>
      <c r="Z547" s="258"/>
      <c r="AA547" s="258"/>
      <c r="AB547" s="258"/>
    </row>
    <row r="548" spans="21:28">
      <c r="U548" s="258"/>
      <c r="V548" s="258"/>
      <c r="W548" s="258"/>
      <c r="X548" s="258"/>
      <c r="Y548" s="1416"/>
      <c r="Z548" s="258"/>
      <c r="AA548" s="258"/>
      <c r="AB548" s="258"/>
    </row>
    <row r="549" spans="21:28">
      <c r="U549" s="258"/>
      <c r="V549" s="258"/>
      <c r="W549" s="258"/>
      <c r="X549" s="258"/>
      <c r="Y549" s="1416"/>
      <c r="Z549" s="258"/>
      <c r="AA549" s="258"/>
      <c r="AB549" s="258"/>
    </row>
    <row r="550" spans="21:28">
      <c r="U550" s="258"/>
      <c r="V550" s="258"/>
      <c r="W550" s="258"/>
      <c r="X550" s="258"/>
      <c r="Y550" s="1416"/>
      <c r="Z550" s="258"/>
      <c r="AA550" s="258"/>
      <c r="AB550" s="258"/>
    </row>
    <row r="551" spans="21:28">
      <c r="U551" s="258"/>
      <c r="V551" s="258"/>
      <c r="W551" s="258"/>
      <c r="X551" s="258"/>
      <c r="Y551" s="1416"/>
      <c r="Z551" s="258"/>
      <c r="AA551" s="258"/>
      <c r="AB551" s="258"/>
    </row>
    <row r="552" spans="21:28">
      <c r="U552" s="258"/>
      <c r="V552" s="258"/>
      <c r="W552" s="258"/>
      <c r="X552" s="258"/>
      <c r="Y552" s="1416"/>
      <c r="Z552" s="258"/>
      <c r="AA552" s="258"/>
      <c r="AB552" s="258"/>
    </row>
    <row r="553" spans="21:28">
      <c r="U553" s="258"/>
      <c r="V553" s="258"/>
      <c r="W553" s="258"/>
      <c r="X553" s="258"/>
      <c r="Y553" s="1416"/>
      <c r="Z553" s="258"/>
      <c r="AA553" s="258"/>
      <c r="AB553" s="258"/>
    </row>
    <row r="554" spans="21:28">
      <c r="U554" s="258"/>
      <c r="V554" s="258"/>
      <c r="W554" s="258"/>
      <c r="X554" s="258"/>
      <c r="Y554" s="1416"/>
      <c r="Z554" s="258"/>
      <c r="AA554" s="258"/>
      <c r="AB554" s="258"/>
    </row>
    <row r="555" spans="21:28">
      <c r="U555" s="258"/>
      <c r="V555" s="258"/>
      <c r="W555" s="258"/>
      <c r="X555" s="258"/>
      <c r="Y555" s="1416"/>
      <c r="Z555" s="258"/>
      <c r="AA555" s="258"/>
      <c r="AB555" s="258"/>
    </row>
    <row r="556" spans="21:28">
      <c r="U556" s="258"/>
      <c r="V556" s="258"/>
      <c r="W556" s="258"/>
      <c r="X556" s="258"/>
      <c r="Y556" s="1416"/>
      <c r="Z556" s="258"/>
      <c r="AA556" s="258"/>
      <c r="AB556" s="258"/>
    </row>
    <row r="557" spans="21:28">
      <c r="U557" s="258"/>
      <c r="V557" s="258"/>
      <c r="W557" s="258"/>
      <c r="X557" s="258"/>
      <c r="Y557" s="1416"/>
      <c r="Z557" s="258"/>
      <c r="AA557" s="258"/>
      <c r="AB557" s="258"/>
    </row>
    <row r="558" spans="21:28">
      <c r="U558" s="258"/>
      <c r="V558" s="258"/>
      <c r="W558" s="258"/>
      <c r="X558" s="258"/>
      <c r="Y558" s="1416"/>
      <c r="Z558" s="258"/>
      <c r="AA558" s="258"/>
      <c r="AB558" s="258"/>
    </row>
    <row r="559" spans="21:28">
      <c r="U559" s="258"/>
      <c r="V559" s="258"/>
      <c r="W559" s="258"/>
      <c r="X559" s="258"/>
      <c r="Y559" s="1416"/>
      <c r="Z559" s="258"/>
      <c r="AA559" s="258"/>
      <c r="AB559" s="258"/>
    </row>
    <row r="560" spans="21:28">
      <c r="U560" s="258"/>
      <c r="V560" s="258"/>
      <c r="W560" s="258"/>
      <c r="X560" s="258"/>
      <c r="Y560" s="1416"/>
      <c r="Z560" s="258"/>
      <c r="AA560" s="258"/>
      <c r="AB560" s="258"/>
    </row>
    <row r="561" spans="21:28">
      <c r="U561" s="258"/>
      <c r="V561" s="258"/>
      <c r="W561" s="258"/>
      <c r="X561" s="258"/>
      <c r="Y561" s="1416"/>
      <c r="Z561" s="258"/>
      <c r="AA561" s="258"/>
      <c r="AB561" s="258"/>
    </row>
    <row r="562" spans="21:28">
      <c r="U562" s="258"/>
      <c r="V562" s="258"/>
      <c r="W562" s="258"/>
      <c r="X562" s="258"/>
      <c r="Y562" s="1416"/>
      <c r="Z562" s="258"/>
      <c r="AA562" s="258"/>
      <c r="AB562" s="258"/>
    </row>
    <row r="563" spans="21:28">
      <c r="U563" s="258"/>
      <c r="V563" s="258"/>
      <c r="W563" s="258"/>
      <c r="X563" s="258"/>
      <c r="Y563" s="1416"/>
      <c r="Z563" s="258"/>
      <c r="AA563" s="258"/>
      <c r="AB563" s="258"/>
    </row>
    <row r="564" spans="21:28">
      <c r="U564" s="258"/>
      <c r="V564" s="258"/>
      <c r="W564" s="258"/>
      <c r="X564" s="258"/>
      <c r="Y564" s="1416"/>
      <c r="Z564" s="258"/>
      <c r="AA564" s="258"/>
      <c r="AB564" s="258"/>
    </row>
    <row r="565" spans="21:28">
      <c r="U565" s="258"/>
      <c r="V565" s="258"/>
      <c r="W565" s="258"/>
      <c r="X565" s="258"/>
      <c r="Y565" s="1416"/>
      <c r="Z565" s="258"/>
      <c r="AA565" s="258"/>
      <c r="AB565" s="258"/>
    </row>
    <row r="566" spans="21:28">
      <c r="U566" s="258"/>
      <c r="V566" s="258"/>
      <c r="W566" s="258"/>
      <c r="X566" s="258"/>
      <c r="Y566" s="1416"/>
      <c r="Z566" s="258"/>
      <c r="AA566" s="258"/>
      <c r="AB566" s="258"/>
    </row>
    <row r="567" spans="21:28">
      <c r="U567" s="258"/>
      <c r="V567" s="258"/>
      <c r="W567" s="258"/>
      <c r="X567" s="258"/>
      <c r="Y567" s="1416"/>
      <c r="Z567" s="258"/>
      <c r="AA567" s="258"/>
      <c r="AB567" s="258"/>
    </row>
    <row r="568" spans="21:28">
      <c r="U568" s="258"/>
      <c r="V568" s="258"/>
      <c r="W568" s="258"/>
      <c r="X568" s="258"/>
      <c r="Y568" s="1416"/>
      <c r="Z568" s="258"/>
      <c r="AA568" s="258"/>
      <c r="AB568" s="258"/>
    </row>
    <row r="569" spans="21:28">
      <c r="U569" s="258"/>
      <c r="V569" s="258"/>
      <c r="W569" s="258"/>
      <c r="X569" s="258"/>
      <c r="Y569" s="1416"/>
      <c r="Z569" s="258"/>
      <c r="AA569" s="258"/>
      <c r="AB569" s="258"/>
    </row>
    <row r="570" spans="21:28">
      <c r="U570" s="258"/>
      <c r="V570" s="258"/>
      <c r="W570" s="258"/>
      <c r="X570" s="258"/>
      <c r="Y570" s="1416"/>
      <c r="Z570" s="258"/>
      <c r="AA570" s="258"/>
      <c r="AB570" s="258"/>
    </row>
    <row r="571" spans="21:28">
      <c r="U571" s="258"/>
      <c r="V571" s="258"/>
      <c r="W571" s="258"/>
      <c r="X571" s="258"/>
      <c r="Y571" s="1416"/>
      <c r="Z571" s="258"/>
      <c r="AA571" s="258"/>
      <c r="AB571" s="258"/>
    </row>
    <row r="572" spans="21:28">
      <c r="U572" s="258"/>
      <c r="V572" s="258"/>
      <c r="W572" s="258"/>
      <c r="X572" s="258"/>
      <c r="Y572" s="1416"/>
      <c r="Z572" s="258"/>
      <c r="AA572" s="258"/>
      <c r="AB572" s="258"/>
    </row>
    <row r="573" spans="21:28">
      <c r="U573" s="258"/>
      <c r="V573" s="258"/>
      <c r="W573" s="258"/>
      <c r="X573" s="258"/>
      <c r="Y573" s="1416"/>
      <c r="Z573" s="258"/>
      <c r="AA573" s="258"/>
      <c r="AB573" s="258"/>
    </row>
    <row r="574" spans="21:28">
      <c r="U574" s="258"/>
      <c r="V574" s="258"/>
      <c r="W574" s="258"/>
      <c r="X574" s="258"/>
      <c r="Y574" s="1416"/>
      <c r="Z574" s="258"/>
      <c r="AA574" s="258"/>
      <c r="AB574" s="258"/>
    </row>
    <row r="575" spans="21:28">
      <c r="U575" s="258"/>
      <c r="V575" s="258"/>
      <c r="W575" s="258"/>
      <c r="X575" s="258"/>
      <c r="Y575" s="1416"/>
      <c r="Z575" s="258"/>
      <c r="AA575" s="258"/>
      <c r="AB575" s="258"/>
    </row>
    <row r="576" spans="21:28">
      <c r="U576" s="258"/>
      <c r="V576" s="258"/>
      <c r="W576" s="258"/>
      <c r="X576" s="258"/>
      <c r="Y576" s="1416"/>
      <c r="Z576" s="258"/>
      <c r="AA576" s="258"/>
      <c r="AB576" s="258"/>
    </row>
    <row r="577" spans="21:28">
      <c r="U577" s="258"/>
      <c r="V577" s="258"/>
      <c r="W577" s="258"/>
      <c r="X577" s="258"/>
      <c r="Y577" s="1416"/>
      <c r="Z577" s="258"/>
      <c r="AA577" s="258"/>
      <c r="AB577" s="258"/>
    </row>
    <row r="578" spans="21:28">
      <c r="U578" s="258"/>
      <c r="V578" s="258"/>
      <c r="W578" s="258"/>
      <c r="X578" s="258"/>
      <c r="Y578" s="1416"/>
      <c r="Z578" s="258"/>
      <c r="AA578" s="258"/>
      <c r="AB578" s="258"/>
    </row>
    <row r="579" spans="21:28">
      <c r="U579" s="258"/>
      <c r="V579" s="258"/>
      <c r="W579" s="258"/>
      <c r="X579" s="258"/>
      <c r="Y579" s="1416"/>
      <c r="Z579" s="258"/>
      <c r="AA579" s="258"/>
      <c r="AB579" s="258"/>
    </row>
    <row r="580" spans="21:28">
      <c r="U580" s="258"/>
      <c r="V580" s="258"/>
      <c r="W580" s="258"/>
      <c r="X580" s="258"/>
      <c r="Y580" s="1416"/>
      <c r="Z580" s="258"/>
      <c r="AA580" s="258"/>
      <c r="AB580" s="258"/>
    </row>
    <row r="581" spans="21:28">
      <c r="U581" s="258"/>
      <c r="V581" s="258"/>
      <c r="W581" s="258"/>
      <c r="X581" s="258"/>
      <c r="Y581" s="1416"/>
      <c r="Z581" s="258"/>
      <c r="AA581" s="258"/>
      <c r="AB581" s="258"/>
    </row>
    <row r="582" spans="21:28">
      <c r="U582" s="258"/>
      <c r="V582" s="258"/>
      <c r="W582" s="258"/>
      <c r="X582" s="258"/>
      <c r="Y582" s="1416"/>
      <c r="Z582" s="258"/>
      <c r="AA582" s="258"/>
      <c r="AB582" s="258"/>
    </row>
    <row r="583" spans="21:28">
      <c r="U583" s="258"/>
      <c r="V583" s="258"/>
      <c r="W583" s="258"/>
      <c r="X583" s="258"/>
      <c r="Y583" s="1416"/>
      <c r="Z583" s="258"/>
      <c r="AA583" s="258"/>
      <c r="AB583" s="258"/>
    </row>
    <row r="584" spans="21:28">
      <c r="U584" s="258"/>
      <c r="V584" s="258"/>
      <c r="W584" s="258"/>
      <c r="X584" s="258"/>
      <c r="Y584" s="1416"/>
      <c r="Z584" s="258"/>
      <c r="AA584" s="258"/>
      <c r="AB584" s="258"/>
    </row>
    <row r="585" spans="21:28">
      <c r="U585" s="258"/>
      <c r="V585" s="258"/>
      <c r="W585" s="258"/>
      <c r="X585" s="258"/>
      <c r="Y585" s="1416"/>
      <c r="Z585" s="258"/>
      <c r="AA585" s="258"/>
      <c r="AB585" s="258"/>
    </row>
    <row r="586" spans="21:28">
      <c r="U586" s="258"/>
      <c r="V586" s="258"/>
      <c r="W586" s="258"/>
      <c r="X586" s="258"/>
      <c r="Y586" s="1416"/>
      <c r="Z586" s="258"/>
      <c r="AA586" s="258"/>
      <c r="AB586" s="258"/>
    </row>
    <row r="587" spans="21:28">
      <c r="U587" s="258"/>
      <c r="V587" s="258"/>
      <c r="W587" s="258"/>
      <c r="X587" s="258"/>
      <c r="Y587" s="1416"/>
      <c r="Z587" s="258"/>
      <c r="AA587" s="258"/>
      <c r="AB587" s="258"/>
    </row>
    <row r="588" spans="21:28">
      <c r="U588" s="258"/>
      <c r="V588" s="258"/>
      <c r="W588" s="258"/>
      <c r="X588" s="258"/>
      <c r="Y588" s="1416"/>
      <c r="Z588" s="258"/>
      <c r="AA588" s="258"/>
      <c r="AB588" s="258"/>
    </row>
    <row r="589" spans="21:28">
      <c r="U589" s="258"/>
      <c r="V589" s="258"/>
      <c r="W589" s="258"/>
      <c r="X589" s="258"/>
      <c r="Y589" s="1416"/>
      <c r="Z589" s="258"/>
      <c r="AA589" s="258"/>
      <c r="AB589" s="258"/>
    </row>
    <row r="590" spans="21:28">
      <c r="U590" s="258"/>
      <c r="V590" s="258"/>
      <c r="W590" s="258"/>
      <c r="X590" s="258"/>
      <c r="Y590" s="1416"/>
      <c r="Z590" s="258"/>
      <c r="AA590" s="258"/>
      <c r="AB590" s="258"/>
    </row>
    <row r="591" spans="21:28">
      <c r="U591" s="258"/>
      <c r="V591" s="258"/>
      <c r="W591" s="258"/>
      <c r="X591" s="258"/>
      <c r="Y591" s="1416"/>
      <c r="Z591" s="258"/>
      <c r="AA591" s="258"/>
      <c r="AB591" s="258"/>
    </row>
    <row r="592" spans="21:28">
      <c r="U592" s="258"/>
      <c r="V592" s="258"/>
      <c r="W592" s="258"/>
      <c r="X592" s="258"/>
      <c r="Y592" s="1416"/>
      <c r="Z592" s="258"/>
      <c r="AA592" s="258"/>
      <c r="AB592" s="258"/>
    </row>
    <row r="593" spans="21:28">
      <c r="U593" s="258"/>
      <c r="V593" s="258"/>
      <c r="W593" s="258"/>
      <c r="X593" s="258"/>
      <c r="Y593" s="1416"/>
      <c r="Z593" s="258"/>
      <c r="AA593" s="258"/>
      <c r="AB593" s="258"/>
    </row>
    <row r="594" spans="21:28">
      <c r="U594" s="258"/>
      <c r="V594" s="258"/>
      <c r="W594" s="258"/>
      <c r="X594" s="258"/>
      <c r="Y594" s="1416"/>
      <c r="Z594" s="258"/>
      <c r="AA594" s="258"/>
      <c r="AB594" s="258"/>
    </row>
    <row r="595" spans="21:28">
      <c r="U595" s="258"/>
      <c r="V595" s="258"/>
      <c r="W595" s="258"/>
      <c r="X595" s="258"/>
      <c r="Y595" s="1416"/>
      <c r="Z595" s="258"/>
      <c r="AA595" s="258"/>
      <c r="AB595" s="258"/>
    </row>
    <row r="596" spans="21:28">
      <c r="U596" s="258"/>
      <c r="V596" s="258"/>
      <c r="W596" s="258"/>
      <c r="X596" s="258"/>
      <c r="Y596" s="1416"/>
      <c r="Z596" s="258"/>
      <c r="AA596" s="258"/>
      <c r="AB596" s="258"/>
    </row>
    <row r="597" spans="21:28">
      <c r="U597" s="258"/>
      <c r="V597" s="258"/>
      <c r="W597" s="258"/>
      <c r="X597" s="258"/>
      <c r="Y597" s="1416"/>
      <c r="Z597" s="258"/>
      <c r="AA597" s="258"/>
      <c r="AB597" s="258"/>
    </row>
    <row r="598" spans="21:28">
      <c r="U598" s="258"/>
      <c r="V598" s="258"/>
      <c r="W598" s="258"/>
      <c r="X598" s="258"/>
      <c r="Y598" s="1416"/>
      <c r="Z598" s="258"/>
      <c r="AA598" s="258"/>
      <c r="AB598" s="258"/>
    </row>
    <row r="599" spans="21:28">
      <c r="U599" s="258"/>
      <c r="V599" s="258"/>
      <c r="W599" s="258"/>
      <c r="X599" s="258"/>
      <c r="Y599" s="1416"/>
      <c r="Z599" s="258"/>
      <c r="AA599" s="258"/>
      <c r="AB599" s="258"/>
    </row>
    <row r="600" spans="21:28">
      <c r="U600" s="258"/>
      <c r="V600" s="258"/>
      <c r="W600" s="258"/>
      <c r="X600" s="258"/>
      <c r="Y600" s="1416"/>
      <c r="Z600" s="258"/>
      <c r="AA600" s="258"/>
      <c r="AB600" s="258"/>
    </row>
    <row r="601" spans="21:28">
      <c r="U601" s="258"/>
      <c r="V601" s="258"/>
      <c r="W601" s="258"/>
      <c r="X601" s="258"/>
      <c r="Y601" s="1416"/>
      <c r="Z601" s="258"/>
      <c r="AA601" s="258"/>
      <c r="AB601" s="258"/>
    </row>
    <row r="602" spans="21:28">
      <c r="U602" s="258"/>
      <c r="V602" s="258"/>
      <c r="W602" s="258"/>
      <c r="X602" s="258"/>
      <c r="Y602" s="1416"/>
      <c r="Z602" s="258"/>
      <c r="AA602" s="258"/>
      <c r="AB602" s="258"/>
    </row>
    <row r="603" spans="21:28">
      <c r="U603" s="258"/>
      <c r="V603" s="258"/>
      <c r="W603" s="258"/>
      <c r="X603" s="258"/>
      <c r="Y603" s="1416"/>
      <c r="Z603" s="258"/>
      <c r="AA603" s="258"/>
      <c r="AB603" s="258"/>
    </row>
    <row r="604" spans="21:28">
      <c r="U604" s="258"/>
      <c r="V604" s="258"/>
      <c r="W604" s="258"/>
      <c r="X604" s="258"/>
      <c r="Y604" s="1416"/>
      <c r="Z604" s="258"/>
      <c r="AA604" s="258"/>
      <c r="AB604" s="258"/>
    </row>
    <row r="605" spans="21:28">
      <c r="U605" s="258"/>
      <c r="V605" s="258"/>
      <c r="W605" s="258"/>
      <c r="X605" s="258"/>
      <c r="Y605" s="1416"/>
      <c r="Z605" s="258"/>
      <c r="AA605" s="258"/>
      <c r="AB605" s="258"/>
    </row>
    <row r="606" spans="21:28">
      <c r="U606" s="258"/>
      <c r="V606" s="258"/>
      <c r="W606" s="258"/>
      <c r="X606" s="258"/>
      <c r="Y606" s="1416"/>
      <c r="Z606" s="258"/>
      <c r="AA606" s="258"/>
      <c r="AB606" s="258"/>
    </row>
    <row r="607" spans="21:28">
      <c r="U607" s="258"/>
      <c r="V607" s="258"/>
      <c r="W607" s="258"/>
      <c r="X607" s="258"/>
      <c r="Y607" s="1416"/>
      <c r="Z607" s="258"/>
      <c r="AA607" s="258"/>
      <c r="AB607" s="258"/>
    </row>
    <row r="608" spans="21:28">
      <c r="U608" s="258"/>
      <c r="V608" s="258"/>
      <c r="W608" s="258"/>
      <c r="X608" s="258"/>
      <c r="Y608" s="1416"/>
      <c r="Z608" s="258"/>
      <c r="AA608" s="258"/>
      <c r="AB608" s="258"/>
    </row>
    <row r="609" spans="21:28">
      <c r="U609" s="258"/>
      <c r="V609" s="258"/>
      <c r="W609" s="258"/>
      <c r="X609" s="258"/>
      <c r="Y609" s="1416"/>
      <c r="Z609" s="258"/>
      <c r="AA609" s="258"/>
      <c r="AB609" s="258"/>
    </row>
    <row r="610" spans="21:28">
      <c r="U610" s="258"/>
      <c r="V610" s="258"/>
      <c r="W610" s="258"/>
      <c r="X610" s="258"/>
      <c r="Y610" s="1416"/>
      <c r="Z610" s="258"/>
      <c r="AA610" s="258"/>
      <c r="AB610" s="258"/>
    </row>
    <row r="611" spans="21:28">
      <c r="U611" s="258"/>
      <c r="V611" s="258"/>
      <c r="W611" s="258"/>
      <c r="X611" s="258"/>
      <c r="Y611" s="1416"/>
      <c r="Z611" s="258"/>
      <c r="AA611" s="258"/>
      <c r="AB611" s="258"/>
    </row>
    <row r="612" spans="21:28">
      <c r="U612" s="258"/>
      <c r="V612" s="258"/>
      <c r="W612" s="258"/>
      <c r="X612" s="258"/>
      <c r="Y612" s="1416"/>
      <c r="Z612" s="258"/>
      <c r="AA612" s="258"/>
      <c r="AB612" s="258"/>
    </row>
    <row r="613" spans="21:28">
      <c r="U613" s="258"/>
      <c r="V613" s="258"/>
      <c r="W613" s="258"/>
      <c r="X613" s="258"/>
      <c r="Y613" s="1416"/>
      <c r="Z613" s="258"/>
      <c r="AA613" s="258"/>
      <c r="AB613" s="258"/>
    </row>
    <row r="614" spans="21:28">
      <c r="U614" s="258"/>
      <c r="V614" s="258"/>
      <c r="W614" s="258"/>
      <c r="X614" s="258"/>
      <c r="Y614" s="1416"/>
      <c r="Z614" s="258"/>
      <c r="AA614" s="258"/>
      <c r="AB614" s="258"/>
    </row>
    <row r="615" spans="21:28">
      <c r="U615" s="258"/>
      <c r="V615" s="258"/>
      <c r="W615" s="258"/>
      <c r="X615" s="258"/>
      <c r="Y615" s="1416"/>
      <c r="Z615" s="258"/>
      <c r="AA615" s="258"/>
      <c r="AB615" s="258"/>
    </row>
    <row r="616" spans="21:28">
      <c r="U616" s="258"/>
      <c r="V616" s="258"/>
      <c r="W616" s="258"/>
      <c r="X616" s="258"/>
      <c r="Y616" s="1416"/>
      <c r="Z616" s="258"/>
      <c r="AA616" s="258"/>
      <c r="AB616" s="258"/>
    </row>
    <row r="617" spans="21:28">
      <c r="U617" s="258"/>
      <c r="V617" s="258"/>
      <c r="W617" s="258"/>
      <c r="X617" s="258"/>
      <c r="Y617" s="1416"/>
      <c r="Z617" s="258"/>
      <c r="AA617" s="258"/>
      <c r="AB617" s="258"/>
    </row>
    <row r="618" spans="21:28">
      <c r="U618" s="258"/>
      <c r="V618" s="258"/>
      <c r="W618" s="258"/>
      <c r="X618" s="258"/>
      <c r="Y618" s="1416"/>
      <c r="Z618" s="258"/>
      <c r="AA618" s="258"/>
      <c r="AB618" s="258"/>
    </row>
    <row r="619" spans="21:28">
      <c r="U619" s="258"/>
      <c r="V619" s="258"/>
      <c r="W619" s="258"/>
      <c r="X619" s="258"/>
      <c r="Y619" s="1416"/>
      <c r="Z619" s="258"/>
      <c r="AA619" s="258"/>
      <c r="AB619" s="258"/>
    </row>
    <row r="620" spans="21:28">
      <c r="U620" s="258"/>
      <c r="V620" s="258"/>
      <c r="W620" s="258"/>
      <c r="X620" s="258"/>
      <c r="Y620" s="1416"/>
      <c r="Z620" s="258"/>
      <c r="AA620" s="258"/>
      <c r="AB620" s="258"/>
    </row>
    <row r="621" spans="21:28">
      <c r="U621" s="258"/>
      <c r="V621" s="258"/>
      <c r="W621" s="258"/>
      <c r="X621" s="258"/>
      <c r="Y621" s="1416"/>
      <c r="Z621" s="258"/>
      <c r="AA621" s="258"/>
      <c r="AB621" s="258"/>
    </row>
    <row r="622" spans="21:28">
      <c r="U622" s="258"/>
      <c r="V622" s="258"/>
      <c r="W622" s="258"/>
      <c r="X622" s="258"/>
      <c r="Y622" s="1416"/>
      <c r="Z622" s="258"/>
      <c r="AA622" s="258"/>
      <c r="AB622" s="258"/>
    </row>
    <row r="623" spans="21:28">
      <c r="U623" s="258"/>
      <c r="V623" s="258"/>
      <c r="W623" s="258"/>
      <c r="X623" s="258"/>
      <c r="Y623" s="1416"/>
      <c r="Z623" s="258"/>
      <c r="AA623" s="258"/>
      <c r="AB623" s="258"/>
    </row>
    <row r="624" spans="21:28">
      <c r="U624" s="258"/>
      <c r="V624" s="258"/>
      <c r="W624" s="258"/>
      <c r="X624" s="258"/>
      <c r="Y624" s="1416"/>
      <c r="Z624" s="258"/>
      <c r="AA624" s="258"/>
      <c r="AB624" s="258"/>
    </row>
    <row r="625" spans="21:28">
      <c r="U625" s="258"/>
      <c r="V625" s="258"/>
      <c r="W625" s="258"/>
      <c r="X625" s="258"/>
      <c r="Y625" s="1416"/>
      <c r="Z625" s="258"/>
      <c r="AA625" s="258"/>
      <c r="AB625" s="258"/>
    </row>
    <row r="626" spans="21:28">
      <c r="U626" s="258"/>
      <c r="V626" s="258"/>
      <c r="W626" s="258"/>
      <c r="X626" s="258"/>
      <c r="Y626" s="1416"/>
      <c r="Z626" s="258"/>
      <c r="AA626" s="258"/>
      <c r="AB626" s="258"/>
    </row>
    <row r="627" spans="21:28">
      <c r="U627" s="258"/>
      <c r="V627" s="258"/>
      <c r="W627" s="258"/>
      <c r="X627" s="258"/>
      <c r="Y627" s="1416"/>
      <c r="Z627" s="258"/>
      <c r="AA627" s="258"/>
      <c r="AB627" s="258"/>
    </row>
    <row r="628" spans="21:28">
      <c r="U628" s="258"/>
      <c r="V628" s="258"/>
      <c r="W628" s="258"/>
      <c r="X628" s="258"/>
      <c r="Y628" s="1416"/>
      <c r="Z628" s="258"/>
      <c r="AA628" s="258"/>
      <c r="AB628" s="258"/>
    </row>
    <row r="629" spans="21:28">
      <c r="U629" s="258"/>
      <c r="V629" s="258"/>
      <c r="W629" s="258"/>
      <c r="X629" s="258"/>
      <c r="Y629" s="1416"/>
      <c r="Z629" s="258"/>
      <c r="AA629" s="258"/>
      <c r="AB629" s="258"/>
    </row>
    <row r="630" spans="21:28">
      <c r="U630" s="258"/>
      <c r="V630" s="258"/>
      <c r="W630" s="258"/>
      <c r="X630" s="258"/>
      <c r="Y630" s="1416"/>
      <c r="Z630" s="258"/>
      <c r="AA630" s="258"/>
      <c r="AB630" s="258"/>
    </row>
    <row r="631" spans="21:28">
      <c r="U631" s="258"/>
      <c r="V631" s="258"/>
      <c r="W631" s="258"/>
      <c r="X631" s="258"/>
      <c r="Y631" s="1416"/>
      <c r="Z631" s="258"/>
      <c r="AA631" s="258"/>
      <c r="AB631" s="258"/>
    </row>
    <row r="632" spans="21:28">
      <c r="U632" s="258"/>
      <c r="V632" s="258"/>
      <c r="W632" s="258"/>
      <c r="X632" s="258"/>
      <c r="Y632" s="1416"/>
      <c r="Z632" s="258"/>
      <c r="AA632" s="258"/>
      <c r="AB632" s="258"/>
    </row>
    <row r="633" spans="21:28">
      <c r="U633" s="258"/>
      <c r="V633" s="258"/>
      <c r="W633" s="258"/>
      <c r="X633" s="258"/>
      <c r="Y633" s="1416"/>
      <c r="Z633" s="258"/>
      <c r="AA633" s="258"/>
      <c r="AB633" s="258"/>
    </row>
    <row r="634" spans="21:28">
      <c r="U634" s="258"/>
      <c r="V634" s="258"/>
      <c r="W634" s="258"/>
      <c r="X634" s="258"/>
      <c r="Y634" s="1416"/>
      <c r="Z634" s="258"/>
      <c r="AA634" s="258"/>
      <c r="AB634" s="258"/>
    </row>
    <row r="635" spans="21:28">
      <c r="U635" s="258"/>
      <c r="V635" s="258"/>
      <c r="W635" s="258"/>
      <c r="X635" s="258"/>
      <c r="Y635" s="1416"/>
      <c r="Z635" s="258"/>
      <c r="AA635" s="258"/>
      <c r="AB635" s="258"/>
    </row>
    <row r="636" spans="21:28">
      <c r="U636" s="258"/>
      <c r="V636" s="258"/>
      <c r="W636" s="258"/>
      <c r="X636" s="258"/>
      <c r="Y636" s="1416"/>
      <c r="Z636" s="258"/>
      <c r="AA636" s="258"/>
      <c r="AB636" s="258"/>
    </row>
    <row r="637" spans="21:28">
      <c r="U637" s="258"/>
      <c r="V637" s="258"/>
      <c r="W637" s="258"/>
      <c r="X637" s="258"/>
      <c r="Y637" s="1416"/>
      <c r="Z637" s="258"/>
      <c r="AA637" s="258"/>
      <c r="AB637" s="258"/>
    </row>
    <row r="638" spans="21:28">
      <c r="U638" s="258"/>
      <c r="V638" s="258"/>
      <c r="W638" s="258"/>
      <c r="X638" s="258"/>
      <c r="Y638" s="1416"/>
      <c r="Z638" s="258"/>
      <c r="AA638" s="258"/>
      <c r="AB638" s="258"/>
    </row>
    <row r="639" spans="21:28">
      <c r="U639" s="258"/>
      <c r="V639" s="258"/>
      <c r="W639" s="258"/>
      <c r="X639" s="258"/>
      <c r="Y639" s="1416"/>
      <c r="Z639" s="258"/>
      <c r="AA639" s="258"/>
      <c r="AB639" s="258"/>
    </row>
    <row r="640" spans="21:28">
      <c r="U640" s="258"/>
      <c r="V640" s="258"/>
      <c r="W640" s="258"/>
      <c r="X640" s="258"/>
      <c r="Y640" s="1416"/>
      <c r="Z640" s="258"/>
      <c r="AA640" s="258"/>
      <c r="AB640" s="258"/>
    </row>
    <row r="641" spans="21:28">
      <c r="U641" s="258"/>
      <c r="V641" s="258"/>
      <c r="W641" s="258"/>
      <c r="X641" s="258"/>
      <c r="Y641" s="1416"/>
      <c r="Z641" s="258"/>
      <c r="AA641" s="258"/>
      <c r="AB641" s="258"/>
    </row>
    <row r="642" spans="21:28">
      <c r="U642" s="258"/>
      <c r="V642" s="258"/>
      <c r="W642" s="258"/>
      <c r="X642" s="258"/>
      <c r="Y642" s="1416"/>
      <c r="Z642" s="258"/>
      <c r="AA642" s="258"/>
      <c r="AB642" s="258"/>
    </row>
    <row r="643" spans="21:28">
      <c r="U643" s="258"/>
      <c r="V643" s="258"/>
      <c r="W643" s="258"/>
      <c r="X643" s="258"/>
      <c r="Y643" s="1416"/>
      <c r="Z643" s="258"/>
      <c r="AA643" s="258"/>
      <c r="AB643" s="258"/>
    </row>
    <row r="644" spans="21:28">
      <c r="U644" s="258"/>
      <c r="V644" s="258"/>
      <c r="W644" s="258"/>
      <c r="X644" s="258"/>
      <c r="Y644" s="1416"/>
      <c r="Z644" s="258"/>
      <c r="AA644" s="258"/>
      <c r="AB644" s="258"/>
    </row>
    <row r="645" spans="21:28">
      <c r="U645" s="258"/>
      <c r="V645" s="258"/>
      <c r="W645" s="258"/>
      <c r="X645" s="258"/>
      <c r="Y645" s="1416"/>
      <c r="Z645" s="258"/>
      <c r="AA645" s="258"/>
      <c r="AB645" s="258"/>
    </row>
    <row r="646" spans="21:28">
      <c r="U646" s="258"/>
      <c r="V646" s="258"/>
      <c r="W646" s="258"/>
      <c r="X646" s="258"/>
      <c r="Y646" s="1416"/>
      <c r="Z646" s="258"/>
      <c r="AA646" s="258"/>
      <c r="AB646" s="258"/>
    </row>
    <row r="647" spans="21:28">
      <c r="U647" s="258"/>
      <c r="V647" s="258"/>
      <c r="W647" s="258"/>
      <c r="X647" s="258"/>
      <c r="Y647" s="1416"/>
      <c r="Z647" s="258"/>
      <c r="AA647" s="258"/>
      <c r="AB647" s="258"/>
    </row>
    <row r="648" spans="21:28">
      <c r="U648" s="258"/>
      <c r="V648" s="258"/>
      <c r="W648" s="258"/>
      <c r="X648" s="258"/>
      <c r="Y648" s="1416"/>
      <c r="Z648" s="258"/>
      <c r="AA648" s="258"/>
      <c r="AB648" s="258"/>
    </row>
    <row r="649" spans="21:28">
      <c r="U649" s="258"/>
      <c r="V649" s="258"/>
      <c r="W649" s="258"/>
      <c r="X649" s="258"/>
      <c r="Y649" s="1416"/>
      <c r="Z649" s="258"/>
      <c r="AA649" s="258"/>
      <c r="AB649" s="258"/>
    </row>
    <row r="650" spans="21:28">
      <c r="U650" s="258"/>
      <c r="V650" s="258"/>
      <c r="W650" s="258"/>
      <c r="X650" s="258"/>
      <c r="Y650" s="1416"/>
      <c r="Z650" s="258"/>
      <c r="AA650" s="258"/>
      <c r="AB650" s="258"/>
    </row>
    <row r="651" spans="21:28">
      <c r="U651" s="258"/>
      <c r="V651" s="258"/>
      <c r="W651" s="258"/>
      <c r="X651" s="258"/>
      <c r="Y651" s="1416"/>
      <c r="Z651" s="258"/>
      <c r="AA651" s="258"/>
      <c r="AB651" s="258"/>
    </row>
    <row r="652" spans="21:28">
      <c r="U652" s="258"/>
      <c r="V652" s="258"/>
      <c r="W652" s="258"/>
      <c r="X652" s="258"/>
      <c r="Y652" s="1416"/>
      <c r="Z652" s="258"/>
      <c r="AA652" s="258"/>
      <c r="AB652" s="258"/>
    </row>
    <row r="653" spans="21:28">
      <c r="U653" s="258"/>
      <c r="V653" s="258"/>
      <c r="W653" s="258"/>
      <c r="X653" s="258"/>
      <c r="Y653" s="1416"/>
      <c r="Z653" s="258"/>
      <c r="AA653" s="258"/>
      <c r="AB653" s="258"/>
    </row>
    <row r="654" spans="21:28">
      <c r="U654" s="258"/>
      <c r="V654" s="258"/>
      <c r="W654" s="258"/>
      <c r="X654" s="258"/>
      <c r="Y654" s="1416"/>
      <c r="Z654" s="258"/>
      <c r="AA654" s="258"/>
      <c r="AB654" s="258"/>
    </row>
    <row r="655" spans="21:28">
      <c r="U655" s="258"/>
      <c r="V655" s="258"/>
      <c r="W655" s="258"/>
      <c r="X655" s="258"/>
      <c r="Y655" s="1416"/>
      <c r="Z655" s="258"/>
      <c r="AA655" s="258"/>
      <c r="AB655" s="258"/>
    </row>
    <row r="656" spans="21:28">
      <c r="U656" s="258"/>
      <c r="V656" s="258"/>
      <c r="W656" s="258"/>
      <c r="X656" s="258"/>
      <c r="Y656" s="1416"/>
      <c r="Z656" s="258"/>
      <c r="AA656" s="258"/>
      <c r="AB656" s="258"/>
    </row>
    <row r="657" spans="21:28">
      <c r="U657" s="258"/>
      <c r="V657" s="258"/>
      <c r="W657" s="258"/>
      <c r="X657" s="258"/>
      <c r="Y657" s="1416"/>
      <c r="Z657" s="258"/>
      <c r="AA657" s="258"/>
      <c r="AB657" s="258"/>
    </row>
    <row r="658" spans="21:28">
      <c r="U658" s="258"/>
      <c r="V658" s="258"/>
      <c r="W658" s="258"/>
      <c r="X658" s="258"/>
      <c r="Y658" s="1416"/>
      <c r="Z658" s="258"/>
      <c r="AA658" s="258"/>
      <c r="AB658" s="258"/>
    </row>
    <row r="659" spans="21:28">
      <c r="U659" s="258"/>
      <c r="V659" s="258"/>
      <c r="W659" s="258"/>
      <c r="X659" s="258"/>
      <c r="Y659" s="1416"/>
      <c r="Z659" s="258"/>
      <c r="AA659" s="258"/>
      <c r="AB659" s="258"/>
    </row>
    <row r="660" spans="21:28">
      <c r="U660" s="258"/>
      <c r="V660" s="258"/>
      <c r="W660" s="258"/>
      <c r="X660" s="258"/>
      <c r="Y660" s="1416"/>
      <c r="Z660" s="258"/>
      <c r="AA660" s="258"/>
      <c r="AB660" s="258"/>
    </row>
    <row r="661" spans="21:28">
      <c r="U661" s="258"/>
      <c r="V661" s="258"/>
      <c r="W661" s="258"/>
      <c r="X661" s="258"/>
      <c r="Y661" s="1416"/>
      <c r="Z661" s="258"/>
      <c r="AA661" s="258"/>
      <c r="AB661" s="258"/>
    </row>
    <row r="662" spans="21:28">
      <c r="U662" s="258"/>
      <c r="V662" s="258"/>
      <c r="W662" s="258"/>
      <c r="X662" s="258"/>
      <c r="Y662" s="1416"/>
      <c r="Z662" s="258"/>
      <c r="AA662" s="258"/>
      <c r="AB662" s="258"/>
    </row>
    <row r="663" spans="21:28">
      <c r="U663" s="258"/>
      <c r="V663" s="258"/>
      <c r="W663" s="258"/>
      <c r="X663" s="258"/>
      <c r="Y663" s="1416"/>
      <c r="Z663" s="258"/>
      <c r="AA663" s="258"/>
      <c r="AB663" s="258"/>
    </row>
    <row r="664" spans="21:28">
      <c r="U664" s="258"/>
      <c r="V664" s="258"/>
      <c r="W664" s="258"/>
      <c r="X664" s="258"/>
      <c r="Y664" s="1416"/>
      <c r="Z664" s="258"/>
      <c r="AA664" s="258"/>
      <c r="AB664" s="258"/>
    </row>
    <row r="665" spans="21:28">
      <c r="U665" s="258"/>
      <c r="V665" s="258"/>
      <c r="W665" s="258"/>
      <c r="X665" s="258"/>
      <c r="Y665" s="1416"/>
      <c r="Z665" s="258"/>
      <c r="AA665" s="258"/>
      <c r="AB665" s="258"/>
    </row>
    <row r="666" spans="21:28">
      <c r="U666" s="258"/>
      <c r="V666" s="258"/>
      <c r="W666" s="258"/>
      <c r="X666" s="258"/>
      <c r="Y666" s="1416"/>
      <c r="Z666" s="258"/>
      <c r="AA666" s="258"/>
      <c r="AB666" s="258"/>
    </row>
    <row r="667" spans="21:28">
      <c r="U667" s="258"/>
      <c r="V667" s="258"/>
      <c r="W667" s="258"/>
      <c r="X667" s="258"/>
      <c r="Y667" s="1416"/>
      <c r="Z667" s="258"/>
      <c r="AA667" s="258"/>
      <c r="AB667" s="258"/>
    </row>
    <row r="668" spans="21:28">
      <c r="U668" s="258"/>
      <c r="V668" s="258"/>
      <c r="W668" s="258"/>
      <c r="X668" s="258"/>
      <c r="Y668" s="1416"/>
      <c r="Z668" s="258"/>
      <c r="AA668" s="258"/>
      <c r="AB668" s="258"/>
    </row>
    <row r="669" spans="21:28">
      <c r="U669" s="258"/>
      <c r="V669" s="258"/>
      <c r="W669" s="258"/>
      <c r="X669" s="258"/>
      <c r="Y669" s="1416"/>
      <c r="Z669" s="258"/>
      <c r="AA669" s="258"/>
      <c r="AB669" s="258"/>
    </row>
    <row r="670" spans="21:28">
      <c r="U670" s="258"/>
      <c r="V670" s="258"/>
      <c r="W670" s="258"/>
      <c r="X670" s="258"/>
      <c r="Y670" s="1416"/>
      <c r="Z670" s="258"/>
      <c r="AA670" s="258"/>
      <c r="AB670" s="258"/>
    </row>
    <row r="671" spans="21:28">
      <c r="U671" s="258"/>
      <c r="V671" s="258"/>
      <c r="W671" s="258"/>
      <c r="X671" s="258"/>
      <c r="Y671" s="1416"/>
      <c r="Z671" s="258"/>
      <c r="AA671" s="258"/>
      <c r="AB671" s="258"/>
    </row>
    <row r="672" spans="21:28">
      <c r="U672" s="258"/>
      <c r="V672" s="258"/>
      <c r="W672" s="258"/>
      <c r="X672" s="258"/>
      <c r="Y672" s="1416"/>
      <c r="Z672" s="258"/>
      <c r="AA672" s="258"/>
      <c r="AB672" s="258"/>
    </row>
    <row r="673" spans="21:28">
      <c r="U673" s="258"/>
      <c r="V673" s="258"/>
      <c r="W673" s="258"/>
      <c r="X673" s="258"/>
      <c r="Y673" s="1416"/>
      <c r="Z673" s="258"/>
      <c r="AA673" s="258"/>
      <c r="AB673" s="258"/>
    </row>
    <row r="674" spans="21:28">
      <c r="U674" s="258"/>
      <c r="V674" s="258"/>
      <c r="W674" s="258"/>
      <c r="X674" s="258"/>
      <c r="Y674" s="1416"/>
      <c r="Z674" s="258"/>
      <c r="AA674" s="258"/>
      <c r="AB674" s="258"/>
    </row>
    <row r="675" spans="21:28">
      <c r="U675" s="258"/>
      <c r="V675" s="258"/>
      <c r="W675" s="258"/>
      <c r="X675" s="258"/>
      <c r="Y675" s="1416"/>
      <c r="Z675" s="258"/>
      <c r="AA675" s="258"/>
      <c r="AB675" s="258"/>
    </row>
    <row r="676" spans="21:28">
      <c r="U676" s="258"/>
      <c r="V676" s="258"/>
      <c r="W676" s="258"/>
      <c r="X676" s="258"/>
      <c r="Y676" s="1416"/>
      <c r="Z676" s="258"/>
      <c r="AA676" s="258"/>
      <c r="AB676" s="258"/>
    </row>
    <row r="677" spans="21:28">
      <c r="U677" s="258"/>
      <c r="V677" s="258"/>
      <c r="W677" s="258"/>
      <c r="X677" s="258"/>
      <c r="Y677" s="1416"/>
      <c r="Z677" s="258"/>
      <c r="AA677" s="258"/>
      <c r="AB677" s="258"/>
    </row>
    <row r="678" spans="21:28">
      <c r="U678" s="258"/>
      <c r="V678" s="258"/>
      <c r="W678" s="258"/>
      <c r="X678" s="258"/>
      <c r="Y678" s="1416"/>
      <c r="Z678" s="258"/>
      <c r="AA678" s="258"/>
      <c r="AB678" s="258"/>
    </row>
    <row r="679" spans="21:28">
      <c r="U679" s="258"/>
      <c r="V679" s="258"/>
      <c r="W679" s="258"/>
      <c r="X679" s="258"/>
      <c r="Y679" s="1416"/>
      <c r="Z679" s="258"/>
      <c r="AA679" s="258"/>
      <c r="AB679" s="258"/>
    </row>
    <row r="680" spans="21:28">
      <c r="U680" s="258"/>
      <c r="V680" s="258"/>
      <c r="W680" s="258"/>
      <c r="X680" s="258"/>
      <c r="Y680" s="1416"/>
      <c r="Z680" s="258"/>
      <c r="AA680" s="258"/>
      <c r="AB680" s="258"/>
    </row>
    <row r="681" spans="21:28">
      <c r="U681" s="258"/>
      <c r="V681" s="258"/>
      <c r="W681" s="258"/>
      <c r="X681" s="258"/>
      <c r="Y681" s="1416"/>
      <c r="Z681" s="258"/>
      <c r="AA681" s="258"/>
      <c r="AB681" s="258"/>
    </row>
    <row r="682" spans="21:28">
      <c r="U682" s="258"/>
      <c r="V682" s="258"/>
      <c r="W682" s="258"/>
      <c r="X682" s="258"/>
      <c r="Y682" s="1416"/>
      <c r="Z682" s="258"/>
      <c r="AA682" s="258"/>
      <c r="AB682" s="258"/>
    </row>
    <row r="683" spans="21:28">
      <c r="U683" s="258"/>
      <c r="V683" s="258"/>
      <c r="W683" s="258"/>
      <c r="X683" s="258"/>
      <c r="Y683" s="1416"/>
      <c r="Z683" s="258"/>
      <c r="AA683" s="258"/>
      <c r="AB683" s="258"/>
    </row>
    <row r="684" spans="21:28">
      <c r="U684" s="258"/>
      <c r="V684" s="258"/>
      <c r="W684" s="258"/>
      <c r="X684" s="258"/>
      <c r="Y684" s="1416"/>
      <c r="Z684" s="258"/>
      <c r="AA684" s="258"/>
      <c r="AB684" s="258"/>
    </row>
    <row r="685" spans="21:28">
      <c r="U685" s="258"/>
      <c r="V685" s="258"/>
      <c r="W685" s="258"/>
      <c r="X685" s="258"/>
      <c r="Y685" s="1416"/>
      <c r="Z685" s="258"/>
      <c r="AA685" s="258"/>
      <c r="AB685" s="258"/>
    </row>
    <row r="686" spans="21:28">
      <c r="U686" s="258"/>
      <c r="V686" s="258"/>
      <c r="W686" s="258"/>
      <c r="X686" s="258"/>
      <c r="Y686" s="1416"/>
      <c r="Z686" s="258"/>
      <c r="AA686" s="258"/>
      <c r="AB686" s="258"/>
    </row>
    <row r="687" spans="21:28">
      <c r="U687" s="258"/>
      <c r="V687" s="258"/>
      <c r="W687" s="258"/>
      <c r="X687" s="258"/>
      <c r="Y687" s="1416"/>
      <c r="Z687" s="258"/>
      <c r="AA687" s="258"/>
      <c r="AB687" s="258"/>
    </row>
    <row r="688" spans="21:28">
      <c r="U688" s="258"/>
      <c r="V688" s="258"/>
      <c r="W688" s="258"/>
      <c r="X688" s="258"/>
      <c r="Y688" s="1416"/>
      <c r="Z688" s="258"/>
      <c r="AA688" s="258"/>
      <c r="AB688" s="258"/>
    </row>
    <row r="689" spans="21:28">
      <c r="U689" s="258"/>
      <c r="V689" s="258"/>
      <c r="W689" s="258"/>
      <c r="X689" s="258"/>
      <c r="Y689" s="1416"/>
      <c r="Z689" s="258"/>
      <c r="AA689" s="258"/>
      <c r="AB689" s="258"/>
    </row>
    <row r="690" spans="21:28">
      <c r="U690" s="258"/>
      <c r="V690" s="258"/>
      <c r="W690" s="258"/>
      <c r="X690" s="258"/>
      <c r="Y690" s="1416"/>
      <c r="Z690" s="258"/>
      <c r="AA690" s="258"/>
      <c r="AB690" s="258"/>
    </row>
    <row r="691" spans="21:28">
      <c r="U691" s="258"/>
      <c r="V691" s="258"/>
      <c r="W691" s="258"/>
      <c r="X691" s="258"/>
      <c r="Y691" s="1416"/>
      <c r="Z691" s="258"/>
      <c r="AA691" s="258"/>
      <c r="AB691" s="258"/>
    </row>
    <row r="692" spans="21:28">
      <c r="U692" s="258"/>
      <c r="V692" s="258"/>
      <c r="W692" s="258"/>
      <c r="X692" s="258"/>
      <c r="Y692" s="1416"/>
      <c r="Z692" s="258"/>
      <c r="AA692" s="258"/>
      <c r="AB692" s="258"/>
    </row>
    <row r="693" spans="21:28">
      <c r="U693" s="258"/>
      <c r="V693" s="258"/>
      <c r="W693" s="258"/>
      <c r="X693" s="258"/>
      <c r="Y693" s="1416"/>
      <c r="Z693" s="258"/>
      <c r="AA693" s="258"/>
      <c r="AB693" s="258"/>
    </row>
    <row r="694" spans="21:28">
      <c r="U694" s="258"/>
      <c r="V694" s="258"/>
      <c r="W694" s="258"/>
      <c r="X694" s="258"/>
      <c r="Y694" s="1416"/>
      <c r="Z694" s="258"/>
      <c r="AA694" s="258"/>
      <c r="AB694" s="258"/>
    </row>
    <row r="695" spans="21:28">
      <c r="U695" s="258"/>
      <c r="V695" s="258"/>
      <c r="W695" s="258"/>
      <c r="X695" s="258"/>
      <c r="Y695" s="1416"/>
      <c r="Z695" s="258"/>
      <c r="AA695" s="258"/>
      <c r="AB695" s="258"/>
    </row>
    <row r="696" spans="21:28">
      <c r="U696" s="258"/>
      <c r="V696" s="258"/>
      <c r="W696" s="258"/>
      <c r="X696" s="258"/>
      <c r="Y696" s="1416"/>
      <c r="Z696" s="258"/>
      <c r="AA696" s="258"/>
      <c r="AB696" s="258"/>
    </row>
    <row r="697" spans="21:28">
      <c r="U697" s="258"/>
      <c r="V697" s="258"/>
      <c r="W697" s="258"/>
      <c r="X697" s="258"/>
      <c r="Y697" s="1416"/>
      <c r="Z697" s="258"/>
      <c r="AA697" s="258"/>
      <c r="AB697" s="258"/>
    </row>
    <row r="698" spans="21:28">
      <c r="U698" s="258"/>
      <c r="V698" s="258"/>
      <c r="W698" s="258"/>
      <c r="X698" s="258"/>
      <c r="Y698" s="1416"/>
      <c r="Z698" s="258"/>
      <c r="AA698" s="258"/>
      <c r="AB698" s="258"/>
    </row>
    <row r="699" spans="21:28">
      <c r="U699" s="258"/>
      <c r="V699" s="258"/>
      <c r="W699" s="258"/>
      <c r="X699" s="258"/>
      <c r="Y699" s="1416"/>
      <c r="Z699" s="258"/>
      <c r="AA699" s="258"/>
      <c r="AB699" s="258"/>
    </row>
    <row r="700" spans="21:28">
      <c r="U700" s="258"/>
      <c r="V700" s="258"/>
      <c r="W700" s="258"/>
      <c r="X700" s="258"/>
      <c r="Y700" s="1416"/>
      <c r="Z700" s="258"/>
      <c r="AA700" s="258"/>
      <c r="AB700" s="258"/>
    </row>
    <row r="701" spans="21:28">
      <c r="U701" s="258"/>
      <c r="V701" s="258"/>
      <c r="W701" s="258"/>
      <c r="X701" s="258"/>
      <c r="Y701" s="1416"/>
      <c r="Z701" s="258"/>
      <c r="AA701" s="258"/>
      <c r="AB701" s="258"/>
    </row>
    <row r="702" spans="21:28">
      <c r="U702" s="258"/>
      <c r="V702" s="258"/>
      <c r="W702" s="258"/>
      <c r="X702" s="258"/>
      <c r="Y702" s="1416"/>
      <c r="Z702" s="258"/>
      <c r="AA702" s="258"/>
      <c r="AB702" s="258"/>
    </row>
    <row r="703" spans="21:28">
      <c r="U703" s="258"/>
      <c r="V703" s="258"/>
      <c r="W703" s="258"/>
      <c r="X703" s="258"/>
      <c r="Y703" s="1416"/>
      <c r="Z703" s="258"/>
      <c r="AA703" s="258"/>
      <c r="AB703" s="258"/>
    </row>
    <row r="704" spans="21:28">
      <c r="U704" s="258"/>
      <c r="V704" s="258"/>
      <c r="W704" s="258"/>
      <c r="X704" s="258"/>
      <c r="Y704" s="1416"/>
      <c r="Z704" s="258"/>
      <c r="AA704" s="258"/>
      <c r="AB704" s="258"/>
    </row>
    <row r="705" spans="21:28">
      <c r="U705" s="258"/>
      <c r="V705" s="258"/>
      <c r="W705" s="258"/>
      <c r="X705" s="258"/>
      <c r="Y705" s="1416"/>
      <c r="Z705" s="258"/>
      <c r="AA705" s="258"/>
      <c r="AB705" s="258"/>
    </row>
    <row r="706" spans="21:28">
      <c r="U706" s="258"/>
      <c r="V706" s="258"/>
      <c r="W706" s="258"/>
      <c r="X706" s="258"/>
      <c r="Y706" s="1416"/>
      <c r="Z706" s="258"/>
      <c r="AA706" s="258"/>
      <c r="AB706" s="258"/>
    </row>
    <row r="707" spans="21:28">
      <c r="U707" s="258"/>
      <c r="V707" s="258"/>
      <c r="W707" s="258"/>
      <c r="X707" s="258"/>
      <c r="Y707" s="1416"/>
      <c r="Z707" s="258"/>
      <c r="AA707" s="258"/>
      <c r="AB707" s="258"/>
    </row>
    <row r="708" spans="21:28">
      <c r="U708" s="258"/>
      <c r="V708" s="258"/>
      <c r="W708" s="258"/>
      <c r="X708" s="258"/>
      <c r="Y708" s="1416"/>
      <c r="Z708" s="258"/>
      <c r="AA708" s="258"/>
      <c r="AB708" s="258"/>
    </row>
    <row r="709" spans="21:28">
      <c r="U709" s="258"/>
      <c r="V709" s="258"/>
      <c r="W709" s="258"/>
      <c r="X709" s="258"/>
      <c r="Y709" s="1416"/>
      <c r="Z709" s="258"/>
      <c r="AA709" s="258"/>
      <c r="AB709" s="258"/>
    </row>
    <row r="710" spans="21:28">
      <c r="U710" s="258"/>
      <c r="V710" s="258"/>
      <c r="W710" s="258"/>
      <c r="X710" s="258"/>
      <c r="Y710" s="1416"/>
      <c r="Z710" s="258"/>
      <c r="AA710" s="258"/>
      <c r="AB710" s="258"/>
    </row>
    <row r="711" spans="21:28">
      <c r="U711" s="258"/>
      <c r="V711" s="258"/>
      <c r="W711" s="258"/>
      <c r="X711" s="258"/>
      <c r="Y711" s="1416"/>
      <c r="Z711" s="258"/>
      <c r="AA711" s="258"/>
      <c r="AB711" s="258"/>
    </row>
    <row r="712" spans="21:28">
      <c r="U712" s="258"/>
      <c r="V712" s="258"/>
      <c r="W712" s="258"/>
      <c r="X712" s="258"/>
      <c r="Y712" s="1416"/>
      <c r="Z712" s="258"/>
      <c r="AA712" s="258"/>
      <c r="AB712" s="258"/>
    </row>
    <row r="713" spans="21:28">
      <c r="U713" s="258"/>
      <c r="V713" s="258"/>
      <c r="W713" s="258"/>
      <c r="X713" s="258"/>
      <c r="Y713" s="1416"/>
      <c r="Z713" s="258"/>
      <c r="AA713" s="258"/>
      <c r="AB713" s="258"/>
    </row>
    <row r="714" spans="21:28">
      <c r="U714" s="258"/>
      <c r="V714" s="258"/>
      <c r="W714" s="258"/>
      <c r="X714" s="258"/>
      <c r="Y714" s="1416"/>
      <c r="Z714" s="258"/>
      <c r="AA714" s="258"/>
      <c r="AB714" s="258"/>
    </row>
    <row r="715" spans="21:28">
      <c r="U715" s="258"/>
      <c r="V715" s="258"/>
      <c r="W715" s="258"/>
      <c r="X715" s="258"/>
      <c r="Y715" s="1416"/>
      <c r="Z715" s="258"/>
      <c r="AA715" s="258"/>
      <c r="AB715" s="258"/>
    </row>
    <row r="716" spans="21:28">
      <c r="U716" s="258"/>
      <c r="V716" s="258"/>
      <c r="W716" s="258"/>
      <c r="X716" s="258"/>
      <c r="Y716" s="1416"/>
      <c r="Z716" s="258"/>
      <c r="AA716" s="258"/>
      <c r="AB716" s="258"/>
    </row>
    <row r="717" spans="21:28">
      <c r="U717" s="258"/>
      <c r="V717" s="258"/>
      <c r="W717" s="258"/>
      <c r="X717" s="258"/>
      <c r="Y717" s="1416"/>
      <c r="Z717" s="258"/>
      <c r="AA717" s="258"/>
      <c r="AB717" s="258"/>
    </row>
    <row r="718" spans="21:28">
      <c r="U718" s="258"/>
      <c r="V718" s="258"/>
      <c r="W718" s="258"/>
      <c r="X718" s="258"/>
      <c r="Y718" s="1416"/>
      <c r="Z718" s="258"/>
      <c r="AA718" s="258"/>
      <c r="AB718" s="258"/>
    </row>
    <row r="719" spans="21:28">
      <c r="U719" s="258"/>
      <c r="V719" s="258"/>
      <c r="W719" s="258"/>
      <c r="X719" s="258"/>
      <c r="Y719" s="1416"/>
      <c r="Z719" s="258"/>
      <c r="AA719" s="258"/>
      <c r="AB719" s="258"/>
    </row>
    <row r="720" spans="21:28">
      <c r="U720" s="258"/>
      <c r="V720" s="258"/>
      <c r="W720" s="258"/>
      <c r="X720" s="258"/>
      <c r="Y720" s="1416"/>
      <c r="Z720" s="258"/>
      <c r="AA720" s="258"/>
      <c r="AB720" s="258"/>
    </row>
    <row r="721" spans="21:28">
      <c r="U721" s="258"/>
      <c r="V721" s="258"/>
      <c r="W721" s="258"/>
      <c r="X721" s="258"/>
      <c r="Y721" s="1416"/>
      <c r="Z721" s="258"/>
      <c r="AA721" s="258"/>
      <c r="AB721" s="258"/>
    </row>
  </sheetData>
  <customSheetViews>
    <customSheetView guid="{B32447E2-AB5B-4CBB-881B-FF11349CA4D6}" hiddenColumns="1">
      <selection activeCell="N18" sqref="N18"/>
      <pageMargins left="0" right="0" top="0" bottom="0" header="0" footer="0"/>
      <pageSetup paperSize="9" orientation="portrait" r:id="rId1"/>
    </customSheetView>
    <customSheetView guid="{9FA74287-E657-475B-BF4B-3C8C757714AE}" hiddenColumns="1">
      <selection activeCell="N18" sqref="N18"/>
      <pageMargins left="0" right="0" top="0" bottom="0" header="0" footer="0"/>
      <pageSetup paperSize="9" orientation="portrait" r:id="rId2"/>
    </customSheetView>
    <customSheetView guid="{54A7C567-FA7D-467E-B353-ECB5E61AE756}" topLeftCell="E218">
      <selection activeCell="H230" sqref="H230"/>
      <pageMargins left="0" right="0" top="0" bottom="0" header="0" footer="0"/>
      <pageSetup paperSize="9" orientation="portrait" r:id="rId3"/>
    </customSheetView>
  </customSheetViews>
  <mergeCells count="30">
    <mergeCell ref="V1:AA1"/>
    <mergeCell ref="O1:T1"/>
    <mergeCell ref="B271:B289"/>
    <mergeCell ref="B4:B13"/>
    <mergeCell ref="C4:C13"/>
    <mergeCell ref="C41:C52"/>
    <mergeCell ref="B14:B52"/>
    <mergeCell ref="C14:C30"/>
    <mergeCell ref="C31:C40"/>
    <mergeCell ref="C269:C270"/>
    <mergeCell ref="C134:C160"/>
    <mergeCell ref="C266:C268"/>
    <mergeCell ref="C246:C256"/>
    <mergeCell ref="B257:B270"/>
    <mergeCell ref="C257:C259"/>
    <mergeCell ref="C260:C265"/>
    <mergeCell ref="C271:C289"/>
    <mergeCell ref="B53:B108"/>
    <mergeCell ref="B109:B256"/>
    <mergeCell ref="C233:C245"/>
    <mergeCell ref="C182:C232"/>
    <mergeCell ref="C161:C167"/>
    <mergeCell ref="C53:C60"/>
    <mergeCell ref="C61:C70"/>
    <mergeCell ref="C178:C181"/>
    <mergeCell ref="C168:C177"/>
    <mergeCell ref="C75:C85"/>
    <mergeCell ref="C86:C94"/>
    <mergeCell ref="C95:C104"/>
    <mergeCell ref="C109:C133"/>
  </mergeCells>
  <phoneticPr fontId="68" type="noConversion"/>
  <conditionalFormatting sqref="O75:T75">
    <cfRule type="colorScale" priority="1053">
      <colorScale>
        <cfvo type="min"/>
        <cfvo type="percentile" val="50"/>
        <cfvo type="max"/>
        <color rgb="FF63BE7B"/>
        <color rgb="FFFFEB84"/>
        <color rgb="FFF8696B"/>
      </colorScale>
    </cfRule>
  </conditionalFormatting>
  <conditionalFormatting sqref="O161:T161">
    <cfRule type="colorScale" priority="1117">
      <colorScale>
        <cfvo type="min"/>
        <cfvo type="percentile" val="50"/>
        <cfvo type="max"/>
        <color rgb="FF63BE7B"/>
        <color rgb="FFFFEB84"/>
        <color rgb="FFF8696B"/>
      </colorScale>
    </cfRule>
  </conditionalFormatting>
  <conditionalFormatting sqref="O168:T168 O14:T14 T4 O31:T31 O41:T41 O86:T86 O53:T53 O95:T95 O61:T61 O182:T182">
    <cfRule type="colorScale" priority="1107">
      <colorScale>
        <cfvo type="min"/>
        <cfvo type="percentile" val="50"/>
        <cfvo type="max"/>
        <color rgb="FF63BE7B"/>
        <color rgb="FFFFEB84"/>
        <color rgb="FFF8696B"/>
      </colorScale>
    </cfRule>
  </conditionalFormatting>
  <conditionalFormatting sqref="O233:T233 O109:T109 O14:T14 O31:T31 O41:T41 O75:T75 O86:T86 O134:T134 O161:T161 O168:T168 O178:T178 O246:T246 O257:T257 O266:T266 O260:T260 O269:T269 O53:T53 O4:T4 O95:T95 O61:T61 O182:T182">
    <cfRule type="colorScale" priority="1054">
      <colorScale>
        <cfvo type="min"/>
        <cfvo type="percentile" val="50"/>
        <cfvo type="max"/>
        <color rgb="FF63BE7B"/>
        <color rgb="FFFFEB84"/>
        <color rgb="FFF8696B"/>
      </colorScale>
    </cfRule>
  </conditionalFormatting>
  <conditionalFormatting sqref="O271:T271">
    <cfRule type="colorScale" priority="189">
      <colorScale>
        <cfvo type="min"/>
        <cfvo type="percentile" val="50"/>
        <cfvo type="max"/>
        <color rgb="FF63BE7B"/>
        <color rgb="FFFFEB84"/>
        <color rgb="FFF8696B"/>
      </colorScale>
    </cfRule>
    <cfRule type="colorScale" priority="190">
      <colorScale>
        <cfvo type="min"/>
        <cfvo type="percentile" val="50"/>
        <cfvo type="max"/>
        <color rgb="FF63BE7B"/>
        <color rgb="FFFFEB84"/>
        <color rgb="FFF8696B"/>
      </colorScale>
    </cfRule>
  </conditionalFormatting>
  <conditionalFormatting sqref="P260:R260 T4 T260 P266:R266 T266 P269:R269 T269 O14:T14 O31:T31 O41:T41 O86:T86 O168:T168 O257:T257 O53:T53 O95:T95 O61:T61 O182:T182">
    <cfRule type="colorScale" priority="1090">
      <colorScale>
        <cfvo type="min"/>
        <cfvo type="percentile" val="50"/>
        <cfvo type="max"/>
        <color rgb="FF63BE7B"/>
        <color rgb="FFFFEB84"/>
        <color rgb="FFF8696B"/>
      </colorScale>
    </cfRule>
  </conditionalFormatting>
  <conditionalFormatting sqref="U31">
    <cfRule type="colorScale" priority="1228">
      <colorScale>
        <cfvo type="min"/>
        <cfvo type="percentile" val="50"/>
        <cfvo type="max"/>
        <color theme="2" tint="-9.9978637043366805E-2"/>
        <color theme="9" tint="0.39997558519241921"/>
        <color theme="9"/>
      </colorScale>
    </cfRule>
  </conditionalFormatting>
  <conditionalFormatting sqref="U233 U109 U14 U41 U53 U61 U75 U86 U95 U134 U161 U168 U178 U182 U246">
    <cfRule type="colorScale" priority="1213">
      <colorScale>
        <cfvo type="min"/>
        <cfvo type="percentile" val="50"/>
        <cfvo type="max"/>
        <color theme="2" tint="-9.9978637043366805E-2"/>
        <color theme="9" tint="0.39997558519241921"/>
        <color theme="9"/>
      </colorScale>
    </cfRule>
  </conditionalFormatting>
  <conditionalFormatting sqref="V14 V31 V41 V86 V168 V257 V53 V95 V61 V182">
    <cfRule type="colorScale" priority="206">
      <colorScale>
        <cfvo type="min"/>
        <cfvo type="percentile" val="50"/>
        <cfvo type="max"/>
        <color rgb="FF63BE7B"/>
        <color rgb="FFFFEB84"/>
        <color rgb="FFF8696B"/>
      </colorScale>
    </cfRule>
  </conditionalFormatting>
  <conditionalFormatting sqref="V168 V14 V31 V41 V86 V53 V95 V61 V182">
    <cfRule type="colorScale" priority="207">
      <colorScale>
        <cfvo type="min"/>
        <cfvo type="percentile" val="50"/>
        <cfvo type="max"/>
        <color rgb="FF63BE7B"/>
        <color rgb="FFFFEB84"/>
        <color rgb="FFF8696B"/>
      </colorScale>
    </cfRule>
  </conditionalFormatting>
  <conditionalFormatting sqref="V75">
    <cfRule type="colorScale" priority="204">
      <colorScale>
        <cfvo type="min"/>
        <cfvo type="percentile" val="50"/>
        <cfvo type="max"/>
        <color rgb="FF63BE7B"/>
        <color rgb="FFFFEB84"/>
        <color rgb="FFF8696B"/>
      </colorScale>
    </cfRule>
  </conditionalFormatting>
  <conditionalFormatting sqref="V233 V109 V14 V31 V41 V75 V86 V134 V161 V168 V178 V246 V257 V266 V260 V269 V53 V4 V95 V61 V182">
    <cfRule type="colorScale" priority="205">
      <colorScale>
        <cfvo type="min"/>
        <cfvo type="percentile" val="50"/>
        <cfvo type="max"/>
        <color rgb="FF63BE7B"/>
        <color rgb="FFFFEB84"/>
        <color rgb="FFF8696B"/>
      </colorScale>
    </cfRule>
  </conditionalFormatting>
  <conditionalFormatting sqref="V161">
    <cfRule type="colorScale" priority="208">
      <colorScale>
        <cfvo type="min"/>
        <cfvo type="percentile" val="50"/>
        <cfvo type="max"/>
        <color rgb="FF63BE7B"/>
        <color rgb="FFFFEB84"/>
        <color rgb="FFF8696B"/>
      </colorScale>
    </cfRule>
  </conditionalFormatting>
  <conditionalFormatting sqref="V271">
    <cfRule type="colorScale" priority="183">
      <colorScale>
        <cfvo type="min"/>
        <cfvo type="percentile" val="50"/>
        <cfvo type="max"/>
        <color rgb="FF63BE7B"/>
        <color rgb="FFFFEB84"/>
        <color rgb="FFF8696B"/>
      </colorScale>
    </cfRule>
    <cfRule type="colorScale" priority="184">
      <colorScale>
        <cfvo type="min"/>
        <cfvo type="percentile" val="50"/>
        <cfvo type="max"/>
        <color rgb="FF63BE7B"/>
        <color rgb="FFFFEB84"/>
        <color rgb="FFF8696B"/>
      </colorScale>
    </cfRule>
  </conditionalFormatting>
  <conditionalFormatting sqref="W75:Y75">
    <cfRule type="colorScale" priority="216">
      <colorScale>
        <cfvo type="min"/>
        <cfvo type="percentile" val="50"/>
        <cfvo type="max"/>
        <color rgb="FF63BE7B"/>
        <color rgb="FFFFEB84"/>
        <color rgb="FFF8696B"/>
      </colorScale>
    </cfRule>
  </conditionalFormatting>
  <conditionalFormatting sqref="W161:Y161">
    <cfRule type="colorScale" priority="220">
      <colorScale>
        <cfvo type="min"/>
        <cfvo type="percentile" val="50"/>
        <cfvo type="max"/>
        <color rgb="FF63BE7B"/>
        <color rgb="FFFFEB84"/>
        <color rgb="FFF8696B"/>
      </colorScale>
    </cfRule>
  </conditionalFormatting>
  <conditionalFormatting sqref="W168:Y168 W14:Y14 W31:Y31 W41:Y41 W86:Y86 W53:Y53 W95:Y95 W61:Y61 W182:Y182">
    <cfRule type="colorScale" priority="219">
      <colorScale>
        <cfvo type="min"/>
        <cfvo type="percentile" val="50"/>
        <cfvo type="max"/>
        <color rgb="FF63BE7B"/>
        <color rgb="FFFFEB84"/>
        <color rgb="FFF8696B"/>
      </colorScale>
    </cfRule>
  </conditionalFormatting>
  <conditionalFormatting sqref="W233:Y233 W109:Y109 W14:Y14 W31:Y31 W41:Y41 W75:Y75 W86:Y86 W134:Y134 W161:Y161 W168:Y168 W178:Y178 W246:Y246 W257:Y257 W266:Y266 W260:Y260 W269:Y269 W53:Y53 W4:Y4 W95:Y95 W61:Y61 W182:Y182">
    <cfRule type="colorScale" priority="217">
      <colorScale>
        <cfvo type="min"/>
        <cfvo type="percentile" val="50"/>
        <cfvo type="max"/>
        <color rgb="FF63BE7B"/>
        <color rgb="FFFFEB84"/>
        <color rgb="FFF8696B"/>
      </colorScale>
    </cfRule>
  </conditionalFormatting>
  <conditionalFormatting sqref="W260:Y260 W266:Y266 W269:Y269 W14:Y14 W31:Y31 W41:Y41 W86:Y86 W168:Y168 W257:Y257 W53:Y53 W95:Y95 W61:Y61 W182:Y182">
    <cfRule type="colorScale" priority="218">
      <colorScale>
        <cfvo type="min"/>
        <cfvo type="percentile" val="50"/>
        <cfvo type="max"/>
        <color rgb="FF63BE7B"/>
        <color rgb="FFFFEB84"/>
        <color rgb="FFF8696B"/>
      </colorScale>
    </cfRule>
  </conditionalFormatting>
  <conditionalFormatting sqref="W271:Y271">
    <cfRule type="colorScale" priority="187">
      <colorScale>
        <cfvo type="min"/>
        <cfvo type="percentile" val="50"/>
        <cfvo type="max"/>
        <color rgb="FF63BE7B"/>
        <color rgb="FFFFEB84"/>
        <color rgb="FFF8696B"/>
      </colorScale>
    </cfRule>
    <cfRule type="colorScale" priority="188">
      <colorScale>
        <cfvo type="min"/>
        <cfvo type="percentile" val="50"/>
        <cfvo type="max"/>
        <color rgb="FF63BE7B"/>
        <color rgb="FFFFEB84"/>
        <color rgb="FFF8696B"/>
      </colorScale>
    </cfRule>
  </conditionalFormatting>
  <conditionalFormatting sqref="Z31 Z14 Z41 Z86 Z168 Z257 Z53 Z95 Z61 Z182">
    <cfRule type="colorScale" priority="200">
      <colorScale>
        <cfvo type="min"/>
        <cfvo type="percentile" val="50"/>
        <cfvo type="max"/>
        <color rgb="FF63BE7B"/>
        <color rgb="FFFFEB84"/>
        <color rgb="FFF8696B"/>
      </colorScale>
    </cfRule>
  </conditionalFormatting>
  <conditionalFormatting sqref="Z168 Z14 Z31 Z41 Z86 Z53 Z95 Z61 Z182">
    <cfRule type="colorScale" priority="201">
      <colorScale>
        <cfvo type="min"/>
        <cfvo type="percentile" val="50"/>
        <cfvo type="max"/>
        <color rgb="FF63BE7B"/>
        <color rgb="FFFFEB84"/>
        <color rgb="FFF8696B"/>
      </colorScale>
    </cfRule>
  </conditionalFormatting>
  <conditionalFormatting sqref="Z75">
    <cfRule type="colorScale" priority="198">
      <colorScale>
        <cfvo type="min"/>
        <cfvo type="percentile" val="50"/>
        <cfvo type="max"/>
        <color rgb="FF63BE7B"/>
        <color rgb="FFFFEB84"/>
        <color rgb="FFF8696B"/>
      </colorScale>
    </cfRule>
  </conditionalFormatting>
  <conditionalFormatting sqref="Z233 Z109 Z14 Z31 Z41 Z75 Z86 Z134 Z161 Z168 Z178 Z246 Z257 Z266 Z260 Z269 Z53 Z4 Z95 Z61 Z182">
    <cfRule type="colorScale" priority="199">
      <colorScale>
        <cfvo type="min"/>
        <cfvo type="percentile" val="50"/>
        <cfvo type="max"/>
        <color rgb="FF63BE7B"/>
        <color rgb="FFFFEB84"/>
        <color rgb="FFF8696B"/>
      </colorScale>
    </cfRule>
  </conditionalFormatting>
  <conditionalFormatting sqref="Z161">
    <cfRule type="colorScale" priority="202">
      <colorScale>
        <cfvo type="min"/>
        <cfvo type="percentile" val="50"/>
        <cfvo type="max"/>
        <color rgb="FF63BE7B"/>
        <color rgb="FFFFEB84"/>
        <color rgb="FFF8696B"/>
      </colorScale>
    </cfRule>
  </conditionalFormatting>
  <conditionalFormatting sqref="Z271">
    <cfRule type="colorScale" priority="181">
      <colorScale>
        <cfvo type="min"/>
        <cfvo type="percentile" val="50"/>
        <cfvo type="max"/>
        <color rgb="FF63BE7B"/>
        <color rgb="FFFFEB84"/>
        <color rgb="FFF8696B"/>
      </colorScale>
    </cfRule>
    <cfRule type="colorScale" priority="182">
      <colorScale>
        <cfvo type="min"/>
        <cfvo type="percentile" val="50"/>
        <cfvo type="max"/>
        <color rgb="FF63BE7B"/>
        <color rgb="FFFFEB84"/>
        <color rgb="FFF8696B"/>
      </colorScale>
    </cfRule>
  </conditionalFormatting>
  <conditionalFormatting sqref="AA168 AA14 AA4 AA31 AA41 AA86 AA53 AA95 AA61 AA182">
    <cfRule type="colorScale" priority="213">
      <colorScale>
        <cfvo type="min"/>
        <cfvo type="percentile" val="50"/>
        <cfvo type="max"/>
        <color rgb="FF63BE7B"/>
        <color rgb="FFFFEB84"/>
        <color rgb="FFF8696B"/>
      </colorScale>
    </cfRule>
  </conditionalFormatting>
  <conditionalFormatting sqref="AA75">
    <cfRule type="colorScale" priority="210">
      <colorScale>
        <cfvo type="min"/>
        <cfvo type="percentile" val="50"/>
        <cfvo type="max"/>
        <color rgb="FF63BE7B"/>
        <color rgb="FFFFEB84"/>
        <color rgb="FFF8696B"/>
      </colorScale>
    </cfRule>
  </conditionalFormatting>
  <conditionalFormatting sqref="AA233 AA109 AA14 AA31 AA41 AA75 AA86 AA134 AA161 AA168 AA178 AA246 AA257 AA266 AA260 AA269 AA53 AA4 AA95 AA61 AA182">
    <cfRule type="colorScale" priority="211">
      <colorScale>
        <cfvo type="min"/>
        <cfvo type="percentile" val="50"/>
        <cfvo type="max"/>
        <color rgb="FF63BE7B"/>
        <color rgb="FFFFEB84"/>
        <color rgb="FFF8696B"/>
      </colorScale>
    </cfRule>
  </conditionalFormatting>
  <conditionalFormatting sqref="AA161">
    <cfRule type="colorScale" priority="214">
      <colorScale>
        <cfvo type="min"/>
        <cfvo type="percentile" val="50"/>
        <cfvo type="max"/>
        <color rgb="FF63BE7B"/>
        <color rgb="FFFFEB84"/>
        <color rgb="FFF8696B"/>
      </colorScale>
    </cfRule>
  </conditionalFormatting>
  <conditionalFormatting sqref="AA260 AA4 AA266 AA269 AA14 AA31 AA41 AA86 AA168 AA257 AA53 AA95 AA61 AA182">
    <cfRule type="colorScale" priority="212">
      <colorScale>
        <cfvo type="min"/>
        <cfvo type="percentile" val="50"/>
        <cfvo type="max"/>
        <color rgb="FF63BE7B"/>
        <color rgb="FFFFEB84"/>
        <color rgb="FFF8696B"/>
      </colorScale>
    </cfRule>
  </conditionalFormatting>
  <conditionalFormatting sqref="AA271">
    <cfRule type="colorScale" priority="185">
      <colorScale>
        <cfvo type="min"/>
        <cfvo type="percentile" val="50"/>
        <cfvo type="max"/>
        <color rgb="FF63BE7B"/>
        <color rgb="FFFFEB84"/>
        <color rgb="FFF8696B"/>
      </colorScale>
    </cfRule>
    <cfRule type="colorScale" priority="186">
      <colorScale>
        <cfvo type="min"/>
        <cfvo type="percentile" val="50"/>
        <cfvo type="max"/>
        <color rgb="FF63BE7B"/>
        <color rgb="FFFFEB84"/>
        <color rgb="FFF8696B"/>
      </colorScale>
    </cfRule>
  </conditionalFormatting>
  <conditionalFormatting sqref="AB168 AB14 AB4 AB31 AB41 AB86 AB53 AB95 AB61 AB182">
    <cfRule type="colorScale" priority="6">
      <colorScale>
        <cfvo type="min"/>
        <cfvo type="percentile" val="50"/>
        <cfvo type="max"/>
        <color rgb="FF63BE7B"/>
        <color rgb="FFFFEB84"/>
        <color rgb="FFF8696B"/>
      </colorScale>
    </cfRule>
  </conditionalFormatting>
  <conditionalFormatting sqref="AB75">
    <cfRule type="colorScale" priority="3">
      <colorScale>
        <cfvo type="min"/>
        <cfvo type="percentile" val="50"/>
        <cfvo type="max"/>
        <color rgb="FF63BE7B"/>
        <color rgb="FFFFEB84"/>
        <color rgb="FFF8696B"/>
      </colorScale>
    </cfRule>
  </conditionalFormatting>
  <conditionalFormatting sqref="AB233 AB109 AB14 AB31 AB41 AB75 AB86 AB134 AB161 AB168 AB178 AB246 AB257 AB266 AB260 AB269 AB53 AB4 AB95 AB61 AB182">
    <cfRule type="colorScale" priority="4">
      <colorScale>
        <cfvo type="min"/>
        <cfvo type="percentile" val="50"/>
        <cfvo type="max"/>
        <color rgb="FF63BE7B"/>
        <color rgb="FFFFEB84"/>
        <color rgb="FFF8696B"/>
      </colorScale>
    </cfRule>
  </conditionalFormatting>
  <conditionalFormatting sqref="AB161">
    <cfRule type="colorScale" priority="7">
      <colorScale>
        <cfvo type="min"/>
        <cfvo type="percentile" val="50"/>
        <cfvo type="max"/>
        <color rgb="FF63BE7B"/>
        <color rgb="FFFFEB84"/>
        <color rgb="FFF8696B"/>
      </colorScale>
    </cfRule>
  </conditionalFormatting>
  <conditionalFormatting sqref="AB260 AB4 AB266 AB269 AB14 AB31 AB41 AB86 AB168 AB257 AB53 AB95 AB61 AB182">
    <cfRule type="colorScale" priority="5">
      <colorScale>
        <cfvo type="min"/>
        <cfvo type="percentile" val="50"/>
        <cfvo type="max"/>
        <color rgb="FF63BE7B"/>
        <color rgb="FFFFEB84"/>
        <color rgb="FFF8696B"/>
      </colorScale>
    </cfRule>
  </conditionalFormatting>
  <conditionalFormatting sqref="AB271">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onditionalFormatting>
  <pageMargins left="0" right="0" top="0" bottom="0" header="0" footer="0"/>
  <pageSetup paperSize="9" orientation="portrait" r:id="rId4"/>
  <ignoredErrors>
    <ignoredError sqref="F2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3BC5-FBFE-44DF-A78C-A4590DB0391F}">
  <sheetPr codeName="Feuil10"/>
  <dimension ref="B1:AI228"/>
  <sheetViews>
    <sheetView workbookViewId="0"/>
  </sheetViews>
  <sheetFormatPr baseColWidth="10" defaultColWidth="11" defaultRowHeight="15.75"/>
  <cols>
    <col min="2" max="2" width="62.75" style="254" bestFit="1" customWidth="1"/>
    <col min="3" max="3" width="13.25" style="158" bestFit="1" customWidth="1"/>
    <col min="4" max="5" width="9.75" customWidth="1"/>
    <col min="6" max="6" width="11" style="156"/>
    <col min="12" max="12" width="31.125" style="254" customWidth="1"/>
    <col min="19" max="19" width="11" style="156"/>
    <col min="20" max="20" width="11" style="254"/>
    <col min="24" max="24" width="11" style="156"/>
    <col min="25" max="25" width="11" style="254"/>
    <col min="26" max="26" width="42.5" bestFit="1" customWidth="1"/>
    <col min="27" max="27" width="7.875" style="156" bestFit="1" customWidth="1"/>
    <col min="28" max="28" width="20.25" customWidth="1"/>
    <col min="33" max="33" width="27.75" customWidth="1"/>
    <col min="36" max="36" width="17.625" customWidth="1"/>
    <col min="37" max="37" width="29.625" customWidth="1"/>
  </cols>
  <sheetData>
    <row r="1" spans="2:35">
      <c r="B1" s="153" t="s">
        <v>267</v>
      </c>
      <c r="C1" s="158" t="s">
        <v>3935</v>
      </c>
      <c r="D1" s="151"/>
      <c r="E1" s="151"/>
      <c r="F1" s="156" t="s">
        <v>268</v>
      </c>
      <c r="G1" t="s">
        <v>87</v>
      </c>
      <c r="H1" t="s">
        <v>269</v>
      </c>
      <c r="I1" t="s">
        <v>268</v>
      </c>
      <c r="L1" s="253" t="s">
        <v>270</v>
      </c>
      <c r="M1" s="174" t="s">
        <v>3935</v>
      </c>
      <c r="N1" s="174" t="s">
        <v>271</v>
      </c>
      <c r="P1" s="174" t="s">
        <v>242</v>
      </c>
      <c r="Q1" s="174" t="s">
        <v>272</v>
      </c>
      <c r="R1" s="174" t="s">
        <v>273</v>
      </c>
      <c r="S1" s="175" t="s">
        <v>268</v>
      </c>
      <c r="T1" s="253" t="s">
        <v>274</v>
      </c>
      <c r="U1" s="174"/>
      <c r="V1" s="174" t="str">
        <f>M1</f>
        <v>kgCO2eq/m2SRE</v>
      </c>
      <c r="W1" s="174" t="str">
        <f>Q1</f>
        <v>%total kgCO2</v>
      </c>
      <c r="X1" s="175" t="s">
        <v>275</v>
      </c>
      <c r="Y1" s="253"/>
      <c r="Z1" s="174" t="s">
        <v>276</v>
      </c>
      <c r="AA1" s="175" t="s">
        <v>273</v>
      </c>
    </row>
    <row r="2" spans="2:35" s="978" customFormat="1">
      <c r="B2" s="1154" cm="1">
        <f t="array" ref="B2">IFERROR(INDEX(Décomposition!H5:H270,MATCH(0,COUNTIF($B$1:B1,Décomposition!H5:H270),0)),0)</f>
        <v>0</v>
      </c>
      <c r="C2" s="1155"/>
      <c r="D2" s="1156"/>
      <c r="E2" s="1156"/>
      <c r="F2" s="1157"/>
      <c r="I2" s="1158" t="s">
        <v>277</v>
      </c>
      <c r="L2" s="1159"/>
      <c r="P2">
        <f ca="1">SUM(M3:M299)</f>
        <v>751.65255002651361</v>
      </c>
      <c r="S2" s="1157"/>
      <c r="T2" s="254"/>
      <c r="U2" s="1160" t="str" cm="1">
        <f t="array" aca="1" ref="U2:U42" ca="1">OFFSET(L3,0,0,COUNTA($M:$M),1)</f>
        <v>Béton pour bâtiment (sans armature)</v>
      </c>
      <c r="V2" s="1160" cm="1">
        <f t="array" aca="1" ref="V2:V42" ca="1">OFFSET(M3,0,0,COUNTA(M:M),1)</f>
        <v>154.23157038296179</v>
      </c>
      <c r="W2" s="1160" cm="1">
        <f t="array" aca="1" ref="W2:W42" ca="1">OFFSET(Q3,0,0,COUNTA($M:$M),1)</f>
        <v>20.518997823864428</v>
      </c>
      <c r="X2" s="1161" cm="1">
        <f t="array" aca="1" ref="X2:X42" ca="1">OFFSET(S3,0,0,COUNTA($M:$M),1)</f>
        <v>1.0020000000000001E-3</v>
      </c>
      <c r="Y2" s="1159"/>
      <c r="AA2" s="1157"/>
      <c r="AB2" s="978" t="str" cm="1">
        <f t="array" aca="1" ref="AB2:AE41" ca="1">_xlfn._xlws.SORT(_xlfn._xlws.FILTER(B2:E299,C2:C299&gt;0),4,-1,)</f>
        <v>Vol.excavation</v>
      </c>
      <c r="AC2" s="978">
        <f ca="1"/>
        <v>1.3540586842217783</v>
      </c>
      <c r="AD2" s="978" t="str">
        <f ca="1"/>
        <v>m3</v>
      </c>
      <c r="AE2" s="1390" t="str">
        <f ca="1"/>
        <v>62.001</v>
      </c>
      <c r="AG2" s="978" t="str">
        <f>_xlfn.XLOOKUP("00",'Baumaterialien Matériaux'!A:A,'Baumaterialien Matériaux'!AD:AD,0,0,1)</f>
        <v>Travaux de préparation</v>
      </c>
      <c r="AH2" s="978">
        <f ca="1">IFERROR(SUM(_xlfn.XLOOKUP("00.*",AE:AE,AC:AC,0,2,1):_xlfn.XLOOKUP("00.*",AE:AE,AC:AC,0,2,-1)),0)</f>
        <v>0</v>
      </c>
      <c r="AI2" s="978">
        <f ca="1">AH2/60</f>
        <v>0</v>
      </c>
    </row>
    <row r="3" spans="2:35">
      <c r="B3" s="1151" t="str" cm="1">
        <f t="array" ref="B3">IFERROR(INDEX(Décomposition!H6:H291,MATCH(0,COUNTIF($B$1:B2,Décomposition!H6:H291),0)),-1)</f>
        <v>Vol.excavation</v>
      </c>
      <c r="C3" s="158" cm="1">
        <f t="array" aca="1" ref="C3" ca="1">IFERROR(SUM((Décomposition!$H$4:$H$270='List of materials'!B3)*Décomposition!$T$4:$T$270),0)</f>
        <v>1.3540586842217783</v>
      </c>
      <c r="D3" s="1152" t="str">
        <f>_xlfn.XLOOKUP(B3, Décomposition!H:H, Décomposition!J:J, 0,0,1)</f>
        <v>m3</v>
      </c>
      <c r="E3" s="1152" t="str">
        <f>_xlfn.XLOOKUP(B3, Décomposition!H:H, Décomposition!I:I, 0,0,1)</f>
        <v>62.001</v>
      </c>
      <c r="F3" s="1153" cm="1">
        <f t="array" aca="1" ref="F3" ca="1">IFERROR(SUM((Décomposition!$H$4:$H$270='List of materials'!$B3)*Décomposition!$K$4:$K$270),0)</f>
        <v>500.34501033599196</v>
      </c>
      <c r="G3" s="158" cm="1">
        <f t="array" ref="G3">IF($D3=$G$1, IFERROR(SUM((Décomposition!$H$4:$H$270='List of materials'!$B3)*Décomposition!$K$4:$K$270),0), 0)</f>
        <v>0</v>
      </c>
      <c r="H3" cm="1">
        <f t="array" aca="1" ref="H3" ca="1">IF($D3=$H$1, IFERROR(SUM((Décomposition!$H$4:$H$270='List of materials'!$B3)*Décomposition!$K$4:$K$270),0), 0)</f>
        <v>500.34501033599196</v>
      </c>
      <c r="I3">
        <f ca="1">IF(F3&gt;0,F3,IF(G3&gt;0,G3,H3))</f>
        <v>500.34501033599196</v>
      </c>
      <c r="L3" s="254" t="str" cm="1">
        <f t="array" aca="1" ref="L3:P42" ca="1">_xlfn._xlws.SORT(_xlfn._xlws.FILTER(B2:F299,C2:C299&gt;0),2,-1,)</f>
        <v>Béton pour bâtiment (sans armature)</v>
      </c>
      <c r="M3">
        <f ca="1"/>
        <v>154.23157038296179</v>
      </c>
      <c r="N3" t="str">
        <f ca="1"/>
        <v>kg</v>
      </c>
      <c r="O3" t="str">
        <f ca="1"/>
        <v>01.002</v>
      </c>
      <c r="P3">
        <f ca="1"/>
        <v>243603.66496815288</v>
      </c>
      <c r="Q3">
        <f t="shared" ref="Q3:Q66" ca="1" si="0">(M3/P$2*100+Q2)</f>
        <v>20.518997823864428</v>
      </c>
      <c r="R3">
        <f t="shared" ref="R3:R66" ca="1" si="1">IF(N3="kg",1,_xlfn.XLOOKUP(L3,Z:Z,AA:AA,0))</f>
        <v>1</v>
      </c>
      <c r="S3" s="156">
        <f ca="1">O3*R3/1000</f>
        <v>1.0020000000000001E-3</v>
      </c>
      <c r="U3" t="str">
        <f ca="1"/>
        <v>Laine de roche</v>
      </c>
      <c r="V3">
        <f ca="1"/>
        <v>69.476293641513649</v>
      </c>
      <c r="W3">
        <f ca="1"/>
        <v>29.762137308864908</v>
      </c>
      <c r="X3" s="156">
        <f ca="1"/>
        <v>1.0008E-2</v>
      </c>
      <c r="Z3" t="s">
        <v>278</v>
      </c>
      <c r="AB3" t="str">
        <f ca="1"/>
        <v>Installation électriques habitation</v>
      </c>
      <c r="AC3">
        <f ca="1"/>
        <v>25.92</v>
      </c>
      <c r="AD3" t="str">
        <f ca="1"/>
        <v>m2</v>
      </c>
      <c r="AE3" t="str">
        <f ca="1"/>
        <v>34.001</v>
      </c>
      <c r="AG3" s="978" t="str">
        <f>_xlfn.XLOOKUP("01",'Baumaterialien Matériaux'!A:A,'Baumaterialien Matériaux'!AD:AD,0,0,1)</f>
        <v>Béton</v>
      </c>
      <c r="AH3">
        <f ca="1">IFERROR(SUM(_xlfn.XLOOKUP("01.*",AE:AE,AC:AC,0,2,1):_xlfn.XLOOKUP("01.*",AE:AE,AC:AC,0,2,-1)),0)</f>
        <v>162.10773704962847</v>
      </c>
      <c r="AI3" s="978">
        <f t="shared" ref="AI3:AI19" ca="1" si="2">AH3/60</f>
        <v>2.7017956174938078</v>
      </c>
    </row>
    <row r="4" spans="2:35">
      <c r="B4" s="1151" t="str" cm="1">
        <f t="array" aca="1" ref="B4" ca="1">IFERROR(INDEX(Décomposition!H7:H292,MATCH(0,COUNTIF($B$1:B3,Décomposition!H7:H292),0)),-1)</f>
        <v>Béton maigre (sans armature)</v>
      </c>
      <c r="C4" s="158" cm="1">
        <f t="array" aca="1" ref="C4" ca="1">IFERROR(SUM((Décomposition!$H$4:$H$270='List of materials'!B4)*Décomposition!$T$4:$T$270),10)</f>
        <v>7.8761666666666681</v>
      </c>
      <c r="D4" s="1152" t="str">
        <f ca="1">_xlfn.XLOOKUP(B4, Décomposition!H:H, Décomposition!J:J, 0,0,1)</f>
        <v>kg</v>
      </c>
      <c r="E4" s="1152" t="str">
        <f ca="1">_xlfn.XLOOKUP(B4, Décomposition!H:H, Décomposition!I:I, 0,0,1)</f>
        <v>01.001</v>
      </c>
      <c r="F4" s="1153" cm="1">
        <f t="array" aca="1" ref="F4" ca="1">IFERROR(SUM((Décomposition!$H$4:$H$270='List of materials'!$B4)*Décomposition!$K$4:$K$270),0)</f>
        <v>20066.666666666672</v>
      </c>
      <c r="G4" s="158" cm="1">
        <f t="array" aca="1" ref="G4" ca="1">IF($D4=$G$1, IFERROR(SUM((Décomposition!$H$4:$H$270='List of materials'!$B4)*Décomposition!$K$4:$K$270),0), 0)</f>
        <v>0</v>
      </c>
      <c r="H4" cm="1">
        <f t="array" aca="1" ref="H4" ca="1">IF($D4=$H$1, IFERROR(SUM((Décomposition!$H$4:$H$270='List of materials'!$B4)*Décomposition!$K$4:$K$270),0), 0)</f>
        <v>0</v>
      </c>
      <c r="I4">
        <f ca="1">IF(F4&gt;0,F4,IF(G4&gt;0,G4*J4,H4*J4))</f>
        <v>20066.666666666672</v>
      </c>
      <c r="J4">
        <f ca="1">_xlfn.XLOOKUP(B4,'Baumaterialien Matériaux'!AD:AD,'Baumaterialien Matériaux'!F:F)</f>
        <v>2150</v>
      </c>
      <c r="L4" s="254" t="str">
        <f ca="1"/>
        <v>Laine de roche</v>
      </c>
      <c r="M4">
        <f ca="1"/>
        <v>69.476293641513649</v>
      </c>
      <c r="N4" t="str">
        <f ca="1"/>
        <v>kg</v>
      </c>
      <c r="O4" t="str">
        <f ca="1"/>
        <v>10.008</v>
      </c>
      <c r="P4">
        <f ca="1"/>
        <v>7025.7322853725709</v>
      </c>
      <c r="Q4">
        <f t="shared" ca="1" si="0"/>
        <v>29.762137308864908</v>
      </c>
      <c r="R4">
        <f t="shared" ca="1" si="1"/>
        <v>1</v>
      </c>
      <c r="S4" s="156">
        <f t="shared" ref="S4:S67" ca="1" si="3">O4*R4/1000</f>
        <v>1.0008E-2</v>
      </c>
      <c r="U4" t="str">
        <f ca="1"/>
        <v>Enduit en plâtre et en ciment</v>
      </c>
      <c r="V4">
        <f ca="1"/>
        <v>53.328051000000002</v>
      </c>
      <c r="W4">
        <f ca="1"/>
        <v>36.856911483198374</v>
      </c>
      <c r="X4" s="156">
        <f ca="1"/>
        <v>4.0130000000000001E-3</v>
      </c>
      <c r="Z4" t="s">
        <v>279</v>
      </c>
      <c r="AB4" t="str">
        <f ca="1"/>
        <v>Installation sanitaire habitation</v>
      </c>
      <c r="AC4">
        <f ca="1"/>
        <v>25.08</v>
      </c>
      <c r="AD4" t="str">
        <f ca="1"/>
        <v>m2</v>
      </c>
      <c r="AE4" t="str">
        <f ca="1"/>
        <v>33.003</v>
      </c>
      <c r="AG4" s="978" t="str">
        <f>_xlfn.XLOOKUP("02",'Baumaterialien Matériaux'!A:A,'Baumaterialien Matériaux'!AD:AD,0,0,1)</f>
        <v xml:space="preserve">Pierres de taille </v>
      </c>
      <c r="AH4">
        <f ca="1">IFERROR(SUM(_xlfn.XLOOKUP("02.*",AE:AE,AC:AC,0,2,1):_xlfn.XLOOKUP("02.*",AE:AE,AC:AC,0,2,-1)),0)</f>
        <v>0</v>
      </c>
      <c r="AI4" s="978">
        <f t="shared" ca="1" si="2"/>
        <v>0</v>
      </c>
    </row>
    <row r="5" spans="2:35">
      <c r="B5" s="1151" t="str" cm="1">
        <f t="array" aca="1" ref="B5" ca="1">IFERROR(INDEX(Décomposition!H8:H270,MATCH(0,COUNTIF($B$1:B4,Décomposition!H8:H270),0)),-1)</f>
        <v>Béton pour bâtiment (sans armature)</v>
      </c>
      <c r="C5" s="158" cm="1">
        <f t="array" aca="1" ref="C5" ca="1">IFERROR(SUM((Décomposition!$H$4:$H$270='List of materials'!B5)*Décomposition!$T$4:$T$270),0)</f>
        <v>154.23157038296179</v>
      </c>
      <c r="D5" s="1152" t="str">
        <f ca="1">_xlfn.XLOOKUP(B5, Décomposition!H:H, Décomposition!J:J, 0,0,1)</f>
        <v>kg</v>
      </c>
      <c r="E5" s="1152" t="str">
        <f ca="1">_xlfn.XLOOKUP(B5, Décomposition!H:H, Décomposition!I:I, 0,0,1)</f>
        <v>01.002</v>
      </c>
      <c r="F5" s="1153" cm="1">
        <f t="array" aca="1" ref="F5" ca="1">IFERROR(SUM((Décomposition!$H$4:$H$270='List of materials'!$B5)*Décomposition!$K$4:$K$270),0)</f>
        <v>243603.66496815288</v>
      </c>
      <c r="G5" s="158" cm="1">
        <f t="array" aca="1" ref="G5" ca="1">IF($D5=$G$1, IFERROR(SUM((Décomposition!$H$4:$H$270='List of materials'!$B5)*Décomposition!$K$4:$K$270),0), 0)</f>
        <v>0</v>
      </c>
      <c r="H5" cm="1">
        <f t="array" aca="1" ref="H5" ca="1">IF($D5=$H$1, IFERROR(SUM((Décomposition!$H$4:$H$270='List of materials'!$B5)*Décomposition!$K$4:$K$270),0), 0)</f>
        <v>0</v>
      </c>
      <c r="I5">
        <f t="shared" ref="I5:I44" ca="1" si="4">IF(F5&gt;0,F5,IF(G5&gt;0,G5*J5,H5*J5))</f>
        <v>243603.66496815288</v>
      </c>
      <c r="J5">
        <f ca="1">_xlfn.XLOOKUP(B5,'Baumaterialien Matériaux'!AD:AD,'Baumaterialien Matériaux'!F:F)</f>
        <v>2300</v>
      </c>
      <c r="L5" s="254" t="str">
        <f ca="1"/>
        <v>Enduit en plâtre et en ciment</v>
      </c>
      <c r="M5">
        <f ca="1"/>
        <v>53.328051000000002</v>
      </c>
      <c r="N5" t="str">
        <f ca="1"/>
        <v>kg</v>
      </c>
      <c r="O5" t="str">
        <f ca="1"/>
        <v>04.013</v>
      </c>
      <c r="P5">
        <f ca="1"/>
        <v>16178.400000000001</v>
      </c>
      <c r="Q5">
        <f t="shared" ca="1" si="0"/>
        <v>36.856911483198374</v>
      </c>
      <c r="R5">
        <f t="shared" ca="1" si="1"/>
        <v>1</v>
      </c>
      <c r="S5" s="156">
        <f t="shared" ca="1" si="3"/>
        <v>4.0130000000000001E-3</v>
      </c>
      <c r="U5" t="str">
        <f ca="1"/>
        <v>Acier d'armature</v>
      </c>
      <c r="V5">
        <f ca="1"/>
        <v>47.97621075</v>
      </c>
      <c r="W5">
        <f ca="1"/>
        <v>43.239675800076924</v>
      </c>
      <c r="X5" s="156">
        <f ca="1"/>
        <v>6.0030000000000005E-3</v>
      </c>
      <c r="Z5" t="s">
        <v>280</v>
      </c>
      <c r="AB5" t="str">
        <f ca="1"/>
        <v>Système de ventilation habitation</v>
      </c>
      <c r="AC5">
        <f ca="1"/>
        <v>29.875999999999998</v>
      </c>
      <c r="AD5" t="str">
        <f ca="1"/>
        <v>m2</v>
      </c>
      <c r="AE5" t="str">
        <f ca="1"/>
        <v>32.011</v>
      </c>
      <c r="AG5" s="978" t="str">
        <f>_xlfn.XLOOKUP("03",'Baumaterialien Matériaux'!A:A,'Baumaterialien Matériaux'!AD:AD,0,0,1)</f>
        <v>Autres matériaux massifs</v>
      </c>
      <c r="AH5">
        <f ca="1">IFERROR(SUM(_xlfn.XLOOKUP("03.*",AE:AE,AC:AC,0,2,1):_xlfn.XLOOKUP("03.*",AE:AE,AC:AC,0,2,-1)),0)</f>
        <v>41.91792488264386</v>
      </c>
      <c r="AI5" s="978">
        <f t="shared" ca="1" si="2"/>
        <v>0.69863208137739763</v>
      </c>
    </row>
    <row r="6" spans="2:35">
      <c r="B6" s="1151" t="str" cm="1">
        <f t="array" aca="1" ref="B6" ca="1">IFERROR(INDEX(Décomposition!H9:H270,MATCH(0,COUNTIF($B$1:B5,Décomposition!H9:H270),0)),-1)</f>
        <v>Acier d'armature</v>
      </c>
      <c r="C6" s="158" cm="1">
        <f t="array" aca="1" ref="C6" ca="1">IFERROR(SUM((Décomposition!$H$4:$H$270='List of materials'!B6)*Décomposition!$T$4:$T$270),0)</f>
        <v>47.97621075</v>
      </c>
      <c r="D6" s="1152" t="str">
        <f ca="1">_xlfn.XLOOKUP(B6, Décomposition!H:H, Décomposition!J:J, 0,0,1)</f>
        <v>kg</v>
      </c>
      <c r="E6" s="1152" t="str">
        <f ca="1">_xlfn.XLOOKUP(B6, Décomposition!H:H, Décomposition!I:I, 0,0,1)</f>
        <v>06.003</v>
      </c>
      <c r="F6" s="1153" cm="1">
        <f t="array" aca="1" ref="F6" ca="1">IFERROR(SUM((Décomposition!$H$4:$H$270='List of materials'!$B6)*Décomposition!$K$4:$K$270),0)</f>
        <v>9776.1</v>
      </c>
      <c r="G6" s="158" cm="1">
        <f t="array" aca="1" ref="G6" ca="1">IF($D6=$G$1, IFERROR(SUM((Décomposition!$H$4:$H$270='List of materials'!$B6)*Décomposition!$K$4:$K$270),0), 0)</f>
        <v>0</v>
      </c>
      <c r="H6" cm="1">
        <f t="array" aca="1" ref="H6" ca="1">IF($D6=$H$1, IFERROR(SUM((Décomposition!$H$4:$H$270='List of materials'!$B6)*Décomposition!$K$4:$K$270),0), 0)</f>
        <v>0</v>
      </c>
      <c r="I6">
        <f t="shared" ca="1" si="4"/>
        <v>9776.1</v>
      </c>
      <c r="J6">
        <f ca="1">_xlfn.XLOOKUP(B6,'Baumaterialien Matériaux'!AD:AD,'Baumaterialien Matériaux'!F:F)</f>
        <v>7850</v>
      </c>
      <c r="L6" s="254" t="str">
        <f ca="1"/>
        <v>Acier d'armature</v>
      </c>
      <c r="M6">
        <f ca="1"/>
        <v>47.97621075</v>
      </c>
      <c r="N6" t="str">
        <f ca="1"/>
        <v>kg</v>
      </c>
      <c r="O6" t="str">
        <f ca="1"/>
        <v>06.003</v>
      </c>
      <c r="P6">
        <f ca="1"/>
        <v>9776.1</v>
      </c>
      <c r="Q6">
        <f t="shared" ca="1" si="0"/>
        <v>43.239675800076924</v>
      </c>
      <c r="R6">
        <f t="shared" ca="1" si="1"/>
        <v>1</v>
      </c>
      <c r="S6" s="156">
        <f t="shared" ca="1" si="3"/>
        <v>6.0030000000000005E-3</v>
      </c>
      <c r="U6" t="str">
        <f ca="1"/>
        <v>Chape de ciment, 85 mm</v>
      </c>
      <c r="V6">
        <f ca="1"/>
        <v>31.002299999999998</v>
      </c>
      <c r="W6">
        <f ca="1"/>
        <v>47.364227762137908</v>
      </c>
      <c r="X6" s="156">
        <f ca="1"/>
        <v>4.006E-3</v>
      </c>
      <c r="Z6" t="s">
        <v>281</v>
      </c>
      <c r="AA6" s="156">
        <f>_xlfn.XLOOKUP(Z6,'Baumaterialien Matériaux'!AD:AD,'Baumaterialien Matériaux'!F:F)</f>
        <v>6.1</v>
      </c>
      <c r="AB6" t="str">
        <f ca="1"/>
        <v>Extraction mécanique cuisine et salle de bain</v>
      </c>
      <c r="AC6">
        <f ca="1"/>
        <v>7.2899999999999991</v>
      </c>
      <c r="AD6" t="str">
        <f ca="1"/>
        <v>m2</v>
      </c>
      <c r="AE6" t="str">
        <f ca="1"/>
        <v>32.003</v>
      </c>
      <c r="AG6" s="978" t="str">
        <f>_xlfn.XLOOKUP("04",'Baumaterialien Matériaux'!A:A,'Baumaterialien Matériaux'!AD:AD,0,0,1)</f>
        <v>Mortiers et enduits</v>
      </c>
      <c r="AH6">
        <f ca="1">IFERROR(SUM(_xlfn.XLOOKUP("04.*",AE:AE,AC:AC,0,2,1):_xlfn.XLOOKUP("04.*",AE:AE,AC:AC,0,2,-1)),0)</f>
        <v>95.186951750000006</v>
      </c>
      <c r="AI6" s="978">
        <f t="shared" ca="1" si="2"/>
        <v>1.5864491958333333</v>
      </c>
    </row>
    <row r="7" spans="2:35">
      <c r="B7" s="1151" t="str" cm="1">
        <f t="array" aca="1" ref="B7" ca="1">IFERROR(INDEX(Décomposition!H10:H270,MATCH(0,COUNTIF($B$1:B6,Décomposition!H10:H270),0)),-1)</f>
        <v>Bois massif 3 et 5 plis</v>
      </c>
      <c r="C7" s="158" cm="1">
        <f t="array" aca="1" ref="C7" ca="1">IFERROR(SUM((Décomposition!$H$4:$H$270='List of materials'!B7)*Décomposition!$T$4:$T$270),0)</f>
        <v>17.646583402499999</v>
      </c>
      <c r="D7" s="1152" t="str">
        <f ca="1">_xlfn.XLOOKUP(B7, Décomposition!H:H, Décomposition!J:J, 0,0,1)</f>
        <v>kg</v>
      </c>
      <c r="E7" s="1152" t="str">
        <f ca="1">_xlfn.XLOOKUP(B7, Décomposition!H:H, Décomposition!I:I, 0,0,1)</f>
        <v>07.001</v>
      </c>
      <c r="F7" s="1153" cm="1">
        <f t="array" aca="1" ref="F7" ca="1">IFERROR(SUM((Décomposition!$H$4:$H$270='List of materials'!$B7)*Décomposition!$K$4:$K$270),0)</f>
        <v>6016.308</v>
      </c>
      <c r="G7" s="158" cm="1">
        <f t="array" aca="1" ref="G7" ca="1">IF($D7=$G$1, IFERROR(SUM((Décomposition!$H$4:$H$270='List of materials'!$B7)*Décomposition!$K$4:$K$270),0), 0)</f>
        <v>0</v>
      </c>
      <c r="H7" cm="1">
        <f t="array" aca="1" ref="H7" ca="1">IF($D7=$H$1, IFERROR(SUM((Décomposition!$H$4:$H$270='List of materials'!$B7)*Décomposition!$K$4:$K$270),0), 0)</f>
        <v>0</v>
      </c>
      <c r="I7">
        <f t="shared" ca="1" si="4"/>
        <v>6016.308</v>
      </c>
      <c r="J7">
        <f ca="1">_xlfn.XLOOKUP(B7,'Baumaterialien Matériaux'!AD:AD,'Baumaterialien Matériaux'!F:F)</f>
        <v>453</v>
      </c>
      <c r="L7" s="254" t="str">
        <f ca="1"/>
        <v>Chape de ciment, 85 mm</v>
      </c>
      <c r="M7">
        <f ca="1"/>
        <v>31.002299999999998</v>
      </c>
      <c r="N7" t="str">
        <f ca="1"/>
        <v>kg</v>
      </c>
      <c r="O7" t="str">
        <f ca="1"/>
        <v>04.006</v>
      </c>
      <c r="P7">
        <f ca="1"/>
        <v>20720</v>
      </c>
      <c r="Q7">
        <f t="shared" ca="1" si="0"/>
        <v>47.364227762137908</v>
      </c>
      <c r="R7">
        <f t="shared" ca="1" si="1"/>
        <v>1</v>
      </c>
      <c r="S7" s="156">
        <f t="shared" ca="1" si="3"/>
        <v>4.006E-3</v>
      </c>
      <c r="U7" t="str">
        <f ca="1"/>
        <v>Système de ventilation habitation</v>
      </c>
      <c r="V7">
        <f ca="1"/>
        <v>29.875999999999998</v>
      </c>
      <c r="W7">
        <f ca="1"/>
        <v>51.338936555309189</v>
      </c>
      <c r="X7" s="156">
        <f ca="1"/>
        <v>0</v>
      </c>
      <c r="Z7" t="s">
        <v>282</v>
      </c>
      <c r="AA7" s="156">
        <f>_xlfn.XLOOKUP(Z7,'Baumaterialien Matériaux'!AD:AD,'Baumaterialien Matériaux'!F:F)</f>
        <v>18</v>
      </c>
      <c r="AB7" t="str">
        <f ca="1"/>
        <v>Distribution et émission de chaleur habitation</v>
      </c>
      <c r="AC7">
        <f ca="1"/>
        <v>6.9300000000000015</v>
      </c>
      <c r="AD7" t="str">
        <f ca="1"/>
        <v>m2</v>
      </c>
      <c r="AE7" t="str">
        <f ca="1"/>
        <v>31.021</v>
      </c>
      <c r="AG7" s="978" t="str">
        <f>_xlfn.XLOOKUP("05",'Baumaterialien Matériaux'!A:A,'Baumaterialien Matériaux'!AD:AD,0,0,1)</f>
        <v>Fenêtre et façades verre/métal</v>
      </c>
      <c r="AH7">
        <f ca="1">IFERROR(SUM(_xlfn.XLOOKUP("05.*",AE:AE,AC:AC,0,2,1):_xlfn.XLOOKUP("05.*",AE:AE,AC:AC,0,2,-1)),0)</f>
        <v>71.541119999999992</v>
      </c>
      <c r="AI7" s="978">
        <f t="shared" ca="1" si="2"/>
        <v>1.1923519999999999</v>
      </c>
    </row>
    <row r="8" spans="2:35">
      <c r="B8" s="1151" t="str" cm="1">
        <f t="array" aca="1" ref="B8" ca="1">IFERROR(INDEX(Décomposition!H11:H270,MATCH(0,COUNTIF($B$1:B7,Décomposition!H11:H270),0)),-1)</f>
        <v>Émulsion de bitume, 1 couche</v>
      </c>
      <c r="C8" s="158" cm="1">
        <f t="array" aca="1" ref="C8" ca="1">IFERROR(SUM((Décomposition!$H$4:$H$270='List of materials'!B8)*Décomposition!$T$4:$T$270),0)</f>
        <v>0.28927999999999998</v>
      </c>
      <c r="D8" s="1152" t="str">
        <f ca="1">_xlfn.XLOOKUP(B8, Décomposition!H:H, Décomposition!J:J, 0,0,1)</f>
        <v>m2</v>
      </c>
      <c r="E8" s="1152" t="str">
        <f ca="1">_xlfn.XLOOKUP(B8, Décomposition!H:H, Décomposition!I:I, 0,0,1)</f>
        <v>14.003</v>
      </c>
      <c r="F8" s="1153" cm="1">
        <f t="array" aca="1" ref="F8" ca="1">IFERROR(SUM((Décomposition!$H$4:$H$270='List of materials'!$B8)*Décomposition!$K$4:$K$270),0)</f>
        <v>256</v>
      </c>
      <c r="G8" s="158" cm="1">
        <f t="array" aca="1" ref="G8" ca="1">IF($D8=$G$1, IFERROR(SUM((Décomposition!$H$4:$H$270='List of materials'!$B8)*Décomposition!$K$4:$K$270),0), 0)</f>
        <v>256</v>
      </c>
      <c r="H8" cm="1">
        <f t="array" aca="1" ref="H8" ca="1">IF($D8=$H$1, IFERROR(SUM((Décomposition!$H$4:$H$270='List of materials'!$B8)*Décomposition!$K$4:$K$270),0), 0)</f>
        <v>0</v>
      </c>
      <c r="I8">
        <f t="shared" ca="1" si="4"/>
        <v>256</v>
      </c>
      <c r="J8">
        <f ca="1">_xlfn.XLOOKUP(B8,'Baumaterialien Matériaux'!AD:AD,'Baumaterialien Matériaux'!F:F)</f>
        <v>0.25</v>
      </c>
      <c r="L8" s="254" t="str">
        <f ca="1"/>
        <v>Système de ventilation habitation</v>
      </c>
      <c r="M8">
        <f ca="1"/>
        <v>29.875999999999998</v>
      </c>
      <c r="N8" t="str">
        <f ca="1"/>
        <v>m2</v>
      </c>
      <c r="O8" t="str">
        <f ca="1"/>
        <v>32.011</v>
      </c>
      <c r="P8">
        <f ca="1"/>
        <v>160</v>
      </c>
      <c r="Q8">
        <f t="shared" ca="1" si="0"/>
        <v>51.338936555309189</v>
      </c>
      <c r="R8">
        <f t="shared" ca="1" si="1"/>
        <v>0</v>
      </c>
      <c r="S8" s="156">
        <f t="shared" ca="1" si="3"/>
        <v>0</v>
      </c>
      <c r="U8" t="str">
        <f ca="1"/>
        <v>Protection solaire, stores vénitiens avec moteur 4</v>
      </c>
      <c r="V8">
        <f ca="1"/>
        <v>28.785599999999999</v>
      </c>
      <c r="W8">
        <f ca="1"/>
        <v>55.168578322503969</v>
      </c>
      <c r="X8" s="156">
        <f ca="1"/>
        <v>0</v>
      </c>
      <c r="Z8" t="s">
        <v>283</v>
      </c>
      <c r="AA8" s="156">
        <f>_xlfn.XLOOKUP(Z8,'Baumaterialien Matériaux'!AD:AD,'Baumaterialien Matériaux'!F:F)</f>
        <v>0.3</v>
      </c>
      <c r="AB8" t="str">
        <f ca="1"/>
        <v>Sondes géothermiques</v>
      </c>
      <c r="AC8">
        <f ca="1"/>
        <v>21.806249999999999</v>
      </c>
      <c r="AD8" t="str">
        <f ca="1"/>
        <v>m2</v>
      </c>
      <c r="AE8" t="str">
        <f ca="1"/>
        <v>31.016</v>
      </c>
      <c r="AG8" s="978" t="str">
        <f>_xlfn.XLOOKUP("06",'Baumaterialien Matériaux'!A:A,'Baumaterialien Matériaux'!AD:AD,0,0,1)</f>
        <v xml:space="preserve">Produits en métal </v>
      </c>
      <c r="AH8">
        <f ca="1">IFERROR(SUM(_xlfn.XLOOKUP("06.*",AE:AE,AC:AC,0,2,1):_xlfn.XLOOKUP("06.*",AE:AE,AC:AC,0,2,-1)),0)</f>
        <v>64.586831987130182</v>
      </c>
      <c r="AI8" s="978">
        <f t="shared" ca="1" si="2"/>
        <v>1.076447199785503</v>
      </c>
    </row>
    <row r="9" spans="2:35">
      <c r="B9" s="1151" t="str" cm="1">
        <f t="array" aca="1" ref="B9" ca="1">IFERROR(INDEX(Décomposition!H12:H270,MATCH(0,COUNTIF($B$1:B8,Décomposition!H12:H270),0)),-1)</f>
        <v>Polyéthylène (HDPE)</v>
      </c>
      <c r="C9" s="158" cm="1">
        <f t="array" aca="1" ref="C9" ca="1">IFERROR(SUM((Décomposition!$H$4:$H$270='List of materials'!B9)*Décomposition!$T$4:$T$270),0)</f>
        <v>9.5</v>
      </c>
      <c r="D9" s="1152" t="str">
        <f ca="1">_xlfn.XLOOKUP(B9, Décomposition!H:H, Décomposition!J:J, 0,0,1)</f>
        <v>kg</v>
      </c>
      <c r="E9" s="1152" t="str">
        <f ca="1">_xlfn.XLOOKUP(B9, Décomposition!H:H, Décomposition!I:I, 0,0,1)</f>
        <v>13.002</v>
      </c>
      <c r="F9" s="1153" cm="1">
        <f t="array" aca="1" ref="F9" ca="1">IFERROR(SUM((Décomposition!$H$4:$H$270='List of materials'!$B9)*Décomposition!$K$4:$K$270),0)</f>
        <v>320</v>
      </c>
      <c r="G9" s="158" cm="1">
        <f t="array" aca="1" ref="G9" ca="1">IF($D9=$G$1, IFERROR(SUM((Décomposition!$H$4:$H$270='List of materials'!$B9)*Décomposition!$K$4:$K$270),0), 0)</f>
        <v>0</v>
      </c>
      <c r="H9" cm="1">
        <f t="array" aca="1" ref="H9" ca="1">IF($D9=$H$1, IFERROR(SUM((Décomposition!$H$4:$H$270='List of materials'!$B9)*Décomposition!$K$4:$K$270),0), 0)</f>
        <v>0</v>
      </c>
      <c r="I9">
        <f t="shared" ca="1" si="4"/>
        <v>320</v>
      </c>
      <c r="J9">
        <f ca="1">_xlfn.XLOOKUP(B9,'Baumaterialien Matériaux'!AD:AD,'Baumaterialien Matériaux'!F:F)</f>
        <v>960</v>
      </c>
      <c r="L9" s="254" t="str">
        <f ca="1"/>
        <v>Protection solaire, stores vénitiens avec moteur 4</v>
      </c>
      <c r="M9">
        <f ca="1"/>
        <v>28.785599999999999</v>
      </c>
      <c r="N9" t="str">
        <f ca="1"/>
        <v>m2</v>
      </c>
      <c r="O9" t="str">
        <f ca="1"/>
        <v>05.017</v>
      </c>
      <c r="P9">
        <f ca="1"/>
        <v>38.4</v>
      </c>
      <c r="Q9">
        <f t="shared" ca="1" si="0"/>
        <v>55.168578322503969</v>
      </c>
      <c r="R9">
        <f t="shared" ca="1" si="1"/>
        <v>0</v>
      </c>
      <c r="S9" s="156">
        <f t="shared" ca="1" si="3"/>
        <v>0</v>
      </c>
      <c r="U9" t="str">
        <f ca="1"/>
        <v>Installation électriques habitation</v>
      </c>
      <c r="V9">
        <f ca="1"/>
        <v>25.92</v>
      </c>
      <c r="W9">
        <f ca="1"/>
        <v>58.616980113874959</v>
      </c>
      <c r="X9" s="156">
        <f ca="1"/>
        <v>0</v>
      </c>
      <c r="Z9" t="s">
        <v>284</v>
      </c>
      <c r="AA9" s="156">
        <f>_xlfn.XLOOKUP(Z9,'Baumaterialien Matériaux'!AD:AD,'Baumaterialien Matériaux'!F:F)</f>
        <v>57.8</v>
      </c>
      <c r="AB9" t="str">
        <f ca="1"/>
        <v>Capteurs solaires</v>
      </c>
      <c r="AC9">
        <f ca="1"/>
        <v>4.2</v>
      </c>
      <c r="AD9" t="str">
        <f ca="1"/>
        <v>m2</v>
      </c>
      <c r="AE9" t="str">
        <f ca="1"/>
        <v>31.009</v>
      </c>
      <c r="AG9" s="978" t="str">
        <f>_xlfn.XLOOKUP("07",'Baumaterialien Matériaux'!A:A,'Baumaterialien Matériaux'!AD:AD,0,0,1)</f>
        <v>Bois et produits en bois</v>
      </c>
      <c r="AH9">
        <f ca="1">IFERROR(SUM(_xlfn.XLOOKUP("07.*",AE:AE,AC:AC,0,2,1):_xlfn.XLOOKUP("07.*",AE:AE,AC:AC,0,2,-1)),0)</f>
        <v>53.591682067579541</v>
      </c>
      <c r="AI9" s="978">
        <f t="shared" ca="1" si="2"/>
        <v>0.89319470112632571</v>
      </c>
    </row>
    <row r="10" spans="2:35">
      <c r="B10" s="1151" t="str" cm="1">
        <f t="array" aca="1" ref="B10" ca="1">IFERROR(INDEX(Décomposition!H13:H270,MATCH(0,COUNTIF($B$1:B9,Décomposition!H13:H270),0)),-1)</f>
        <v>Lé d'étanchéité bitumineux, swissporBIKUTOP</v>
      </c>
      <c r="C10" s="158" cm="1">
        <f t="array" aca="1" ref="C10" ca="1">IFERROR(SUM((Décomposition!$H$4:$H$270='List of materials'!B10)*Décomposition!$T$4:$T$270),0)</f>
        <v>0</v>
      </c>
      <c r="D10" s="1152" t="str">
        <f ca="1">_xlfn.XLOOKUP(B10, Décomposition!H:H, Décomposition!J:J, 0,0,1)</f>
        <v>kg</v>
      </c>
      <c r="E10" s="1152" t="str">
        <f ca="1">_xlfn.XLOOKUP(B10, Décomposition!H:H, Décomposition!I:I, 0,0,1)</f>
        <v>09.003.07</v>
      </c>
      <c r="F10" s="1153" cm="1">
        <f t="array" aca="1" ref="F10" ca="1">IFERROR(SUM((Décomposition!$H$4:$H$270='List of materials'!$B10)*Décomposition!$K$4:$K$270),0)</f>
        <v>0</v>
      </c>
      <c r="G10" s="158" cm="1">
        <f t="array" aca="1" ref="G10" ca="1">IF($D10=$G$1, IFERROR(SUM((Décomposition!$H$4:$H$270='List of materials'!$B10)*Décomposition!$K$4:$K$270),0), 0)</f>
        <v>0</v>
      </c>
      <c r="H10" cm="1">
        <f t="array" aca="1" ref="H10" ca="1">IF($D10=$H$1, IFERROR(SUM((Décomposition!$H$4:$H$270='List of materials'!$B10)*Décomposition!$K$4:$K$270),0), 0)</f>
        <v>0</v>
      </c>
      <c r="I10">
        <f t="shared" ca="1" si="4"/>
        <v>0</v>
      </c>
      <c r="J10">
        <f ca="1">_xlfn.XLOOKUP(B10,'Baumaterialien Matériaux'!AD:AD,'Baumaterialien Matériaux'!F:F)</f>
        <v>1269</v>
      </c>
      <c r="L10" s="254" t="str">
        <f ca="1"/>
        <v>Installation électriques habitation</v>
      </c>
      <c r="M10">
        <f ca="1"/>
        <v>25.92</v>
      </c>
      <c r="N10" t="str">
        <f ca="1"/>
        <v>m2</v>
      </c>
      <c r="O10" t="str">
        <f ca="1"/>
        <v>34.001</v>
      </c>
      <c r="P10">
        <f ca="1"/>
        <v>160</v>
      </c>
      <c r="Q10">
        <f t="shared" ca="1" si="0"/>
        <v>58.616980113874959</v>
      </c>
      <c r="R10">
        <f t="shared" ca="1" si="1"/>
        <v>0</v>
      </c>
      <c r="S10" s="156">
        <f t="shared" ca="1" si="3"/>
        <v>0</v>
      </c>
      <c r="U10" t="str">
        <f ca="1"/>
        <v>Triple vitrage, U&lt;0.6 W/m2K, épaisseur 40 mm 3</v>
      </c>
      <c r="V10">
        <f ca="1"/>
        <v>25.384319999999995</v>
      </c>
      <c r="W10">
        <f ca="1"/>
        <v>61.994114934890945</v>
      </c>
      <c r="X10" s="156">
        <f ca="1"/>
        <v>0</v>
      </c>
      <c r="Z10" t="s">
        <v>285</v>
      </c>
      <c r="AB10" t="str">
        <f ca="1"/>
        <v xml:space="preserve">Polyamide (PA) renforcé par des fibres de verre </v>
      </c>
      <c r="AC10">
        <f ca="1"/>
        <v>6.3991916800000004</v>
      </c>
      <c r="AD10" t="str">
        <f ca="1"/>
        <v>kg</v>
      </c>
      <c r="AE10" t="str">
        <f ca="1"/>
        <v>15.002</v>
      </c>
      <c r="AG10" s="978" t="str">
        <f>_xlfn.XLOOKUP("08",'Baumaterialien Matériaux'!A:A,'Baumaterialien Matériaux'!AD:AD,0,0,1)</f>
        <v>Colles et masses de jointoiement</v>
      </c>
      <c r="AH10">
        <f ca="1">IFERROR(SUM(_xlfn.XLOOKUP("08.*",AE:AE,AC:AC,0,2,1):_xlfn.XLOOKUP("08.*",AE:AE,AC:AC,0,2,-1)),0)</f>
        <v>6.7717999999999998</v>
      </c>
      <c r="AI10" s="978">
        <f t="shared" ca="1" si="2"/>
        <v>0.11286333333333333</v>
      </c>
    </row>
    <row r="11" spans="2:35">
      <c r="B11" s="1151" t="str" cm="1">
        <f t="array" aca="1" ref="B11" ca="1">IFERROR(INDEX(Décomposition!H14:H270,MATCH(0,COUNTIF($B$1:B10,Décomposition!H14:H270),0)),-1)</f>
        <v>Voile de polyéthylène (PE)</v>
      </c>
      <c r="C11" s="158" cm="1">
        <f t="array" aca="1" ref="C11" ca="1">IFERROR(SUM((Décomposition!$H$4:$H$270='List of materials'!B11)*Décomposition!$T$4:$T$270),0)</f>
        <v>5.9681269643505264</v>
      </c>
      <c r="D11" s="1152" t="str">
        <f ca="1">_xlfn.XLOOKUP(B11, Décomposition!H:H, Décomposition!J:J, 0,0,1)</f>
        <v>kg</v>
      </c>
      <c r="E11" s="1152" t="str">
        <f ca="1">_xlfn.XLOOKUP(B11, Décomposition!H:H, Décomposition!I:I, 0,0,1)</f>
        <v>09.008</v>
      </c>
      <c r="F11" s="1153" cm="1">
        <f t="array" aca="1" ref="F11" ca="1">IFERROR(SUM((Décomposition!$H$4:$H$270='List of materials'!$B11)*Décomposition!$K$4:$K$270),0)</f>
        <v>84.804646029847618</v>
      </c>
      <c r="G11" s="158" cm="1">
        <f t="array" aca="1" ref="G11" ca="1">IF($D11=$G$1, IFERROR(SUM((Décomposition!$H$4:$H$270='List of materials'!$B11)*Décomposition!$K$4:$K$270),0), 0)</f>
        <v>0</v>
      </c>
      <c r="H11" cm="1">
        <f t="array" aca="1" ref="H11" ca="1">IF($D11=$H$1, IFERROR(SUM((Décomposition!$H$4:$H$270='List of materials'!$B11)*Décomposition!$K$4:$K$270),0), 0)</f>
        <v>0</v>
      </c>
      <c r="I11">
        <f t="shared" ca="1" si="4"/>
        <v>84.804646029847618</v>
      </c>
      <c r="J11">
        <f ca="1">_xlfn.XLOOKUP(B11,'Baumaterialien Matériaux'!AD:AD,'Baumaterialien Matériaux'!F:F)</f>
        <v>920</v>
      </c>
      <c r="L11" s="254" t="str">
        <f ca="1"/>
        <v>Triple vitrage, U&lt;0.6 W/m2K, épaisseur 40 mm 3</v>
      </c>
      <c r="M11">
        <f ca="1"/>
        <v>25.384319999999995</v>
      </c>
      <c r="N11" t="str">
        <f ca="1"/>
        <v>m2</v>
      </c>
      <c r="O11" t="str">
        <f ca="1"/>
        <v>05.012</v>
      </c>
      <c r="P11">
        <f ca="1"/>
        <v>29.951999999999998</v>
      </c>
      <c r="Q11">
        <f t="shared" ca="1" si="0"/>
        <v>61.994114934890945</v>
      </c>
      <c r="R11">
        <f t="shared" ca="1" si="1"/>
        <v>0</v>
      </c>
      <c r="S11" s="156">
        <f t="shared" ca="1" si="3"/>
        <v>0</v>
      </c>
      <c r="U11" t="str">
        <f ca="1"/>
        <v>Installation sanitaire habitation</v>
      </c>
      <c r="V11">
        <f ca="1"/>
        <v>25.08</v>
      </c>
      <c r="W11">
        <f ca="1"/>
        <v>65.330762964504544</v>
      </c>
      <c r="X11" s="156">
        <f ca="1"/>
        <v>0</v>
      </c>
      <c r="Z11" t="s">
        <v>286</v>
      </c>
      <c r="AA11" s="156">
        <v>1200</v>
      </c>
      <c r="AB11" t="str">
        <f ca="1"/>
        <v>Émulsion de bitume, 1 couche</v>
      </c>
      <c r="AC11">
        <f ca="1"/>
        <v>0.28927999999999998</v>
      </c>
      <c r="AD11" t="str">
        <f ca="1"/>
        <v>m2</v>
      </c>
      <c r="AE11" t="str">
        <f ca="1"/>
        <v>14.003</v>
      </c>
      <c r="AG11" s="978" t="str">
        <f>_xlfn.XLOOKUP("09",'Baumaterialien Matériaux'!A:A,'Baumaterialien Matériaux'!AD:AD,0,0,1)</f>
        <v xml:space="preserve">Lés d'étanchéité et feuilles de protection </v>
      </c>
      <c r="AH11">
        <f ca="1">IFERROR(SUM(_xlfn.XLOOKUP("09.*",AE:AE,AC:AC,0,2,1):_xlfn.XLOOKUP("09.*",AE:AE,AC:AC,0,2,-1)),0)</f>
        <v>7.0946528095933239</v>
      </c>
      <c r="AI11" s="978">
        <f t="shared" ca="1" si="2"/>
        <v>0.11824421349322206</v>
      </c>
    </row>
    <row r="12" spans="2:35">
      <c r="B12" s="1151" t="str" cm="1">
        <f t="array" aca="1" ref="B12" ca="1">IFERROR(INDEX(Décomposition!H15:H270,MATCH(0,COUNTIF($B$1:B11,Décomposition!H15:H270),0)),-1)</f>
        <v>Gravier rond 1</v>
      </c>
      <c r="C12" s="158" cm="1">
        <f t="array" aca="1" ref="C12" ca="1">IFERROR(SUM((Décomposition!$H$4:$H$270='List of materials'!B12)*Décomposition!$T$4:$T$270),0)</f>
        <v>0</v>
      </c>
      <c r="D12" s="1152" t="str">
        <f ca="1">_xlfn.XLOOKUP(B12, Décomposition!H:H, Décomposition!J:J, 0,0,1)</f>
        <v>kg</v>
      </c>
      <c r="E12" s="1152" t="str">
        <f ca="1">_xlfn.XLOOKUP(B12, Décomposition!H:H, Décomposition!I:I, 0,0,1)</f>
        <v>03.012</v>
      </c>
      <c r="F12" s="1153" cm="1">
        <f t="array" aca="1" ref="F12" ca="1">IFERROR(SUM((Décomposition!$H$4:$H$270='List of materials'!$B12)*Décomposition!$K$4:$K$270),0)</f>
        <v>0</v>
      </c>
      <c r="G12" s="158" cm="1">
        <f t="array" aca="1" ref="G12" ca="1">IF($D12=$G$1, IFERROR(SUM((Décomposition!$H$4:$H$270='List of materials'!$B12)*Décomposition!$K$4:$K$270),0), 0)</f>
        <v>0</v>
      </c>
      <c r="H12" cm="1">
        <f t="array" aca="1" ref="H12" ca="1">IF($D12=$H$1, IFERROR(SUM((Décomposition!$H$4:$H$270='List of materials'!$B12)*Décomposition!$K$4:$K$270),0), 0)</f>
        <v>0</v>
      </c>
      <c r="I12" t="e">
        <f t="shared" ca="1" si="4"/>
        <v>#VALUE!</v>
      </c>
      <c r="J12" t="str">
        <f ca="1">_xlfn.XLOOKUP(B12,'Baumaterialien Matériaux'!AD:AD,'Baumaterialien Matériaux'!F:F)</f>
        <v>1'600 - 1'700</v>
      </c>
      <c r="L12" s="254" t="str">
        <f ca="1"/>
        <v>Installation sanitaire habitation</v>
      </c>
      <c r="M12">
        <f ca="1"/>
        <v>25.08</v>
      </c>
      <c r="N12" t="str">
        <f ca="1"/>
        <v>m2</v>
      </c>
      <c r="O12" t="str">
        <f ca="1"/>
        <v>33.003</v>
      </c>
      <c r="P12">
        <f ca="1"/>
        <v>160</v>
      </c>
      <c r="Q12">
        <f t="shared" ca="1" si="0"/>
        <v>65.330762964504544</v>
      </c>
      <c r="R12">
        <f t="shared" ca="1" si="1"/>
        <v>0</v>
      </c>
      <c r="S12" s="156">
        <f t="shared" ca="1" si="3"/>
        <v>0</v>
      </c>
      <c r="U12" t="str">
        <f ca="1"/>
        <v>Tuile en terre cuite</v>
      </c>
      <c r="V12">
        <f ca="1"/>
        <v>22.268399882643862</v>
      </c>
      <c r="W12">
        <f ca="1"/>
        <v>68.293355173079945</v>
      </c>
      <c r="X12" s="156">
        <f ca="1"/>
        <v>3.0150000000000003E-3</v>
      </c>
      <c r="Z12" t="s">
        <v>287</v>
      </c>
      <c r="AA12" s="156">
        <f>_xlfn.XLOOKUP(Z12,'Baumaterialien Matériaux'!AD:AD,'Baumaterialien Matériaux'!F:F)</f>
        <v>0.25</v>
      </c>
      <c r="AB12" t="str">
        <f ca="1"/>
        <v>Enduit, diluable à l'eau, 2 couches</v>
      </c>
      <c r="AC12">
        <f ca="1"/>
        <v>11.187646000000001</v>
      </c>
      <c r="AD12" t="str">
        <f ca="1"/>
        <v>m2</v>
      </c>
      <c r="AE12" t="str">
        <f ca="1"/>
        <v>14.001</v>
      </c>
      <c r="AG12" s="978" t="str">
        <f>_xlfn.XLOOKUP("10",'Baumaterialien Matériaux'!A:A,'Baumaterialien Matériaux'!AD:AD,0,0,1)</f>
        <v>Produits d'isolation thermique</v>
      </c>
      <c r="AH12">
        <f ca="1">IFERROR(SUM(_xlfn.XLOOKUP("10.*",AE:AE,AC:AC,0,2,1):_xlfn.XLOOKUP("10.*",AE:AE,AC:AC,0,2,-1)),0)</f>
        <v>71.203093641513647</v>
      </c>
      <c r="AI12" s="978">
        <f t="shared" ca="1" si="2"/>
        <v>1.1867182273585608</v>
      </c>
    </row>
    <row r="13" spans="2:35">
      <c r="B13" s="1151" t="str" cm="1">
        <f t="array" aca="1" ref="B13" ca="1">IFERROR(INDEX(Décomposition!H16:H270,MATCH(0,COUNTIF($B$1:B12,Décomposition!H16:H270),0)),-1)</f>
        <v>Bois massif épicéa / sapin / mélèze, séché à l'air, brut</v>
      </c>
      <c r="C13" s="158" cm="1">
        <f t="array" aca="1" ref="C13" ca="1">IFERROR(SUM((Décomposition!$H$4:$H$270='List of materials'!B13)*Décomposition!$T$4:$T$270),0)</f>
        <v>18.537873265079543</v>
      </c>
      <c r="D13" s="1152" t="str">
        <f ca="1">_xlfn.XLOOKUP(B13, Décomposition!H:H, Décomposition!J:J, 0,0,1)</f>
        <v>kg</v>
      </c>
      <c r="E13" s="1152" t="str">
        <f ca="1">_xlfn.XLOOKUP(B13, Décomposition!H:H, Décomposition!I:I, 0,0,1)</f>
        <v>07.009</v>
      </c>
      <c r="F13" s="1153" cm="1">
        <f t="array" aca="1" ref="F13" ca="1">IFERROR(SUM((Décomposition!$H$4:$H$270='List of materials'!$B13)*Décomposition!$K$4:$K$270),0)</f>
        <v>21781.61809278488</v>
      </c>
      <c r="G13" s="158" cm="1">
        <f t="array" aca="1" ref="G13" ca="1">IF($D13=$G$1, IFERROR(SUM((Décomposition!$H$4:$H$270='List of materials'!$B13)*Décomposition!$K$4:$K$270),0), 0)</f>
        <v>0</v>
      </c>
      <c r="H13" cm="1">
        <f t="array" aca="1" ref="H13" ca="1">IF($D13=$H$1, IFERROR(SUM((Décomposition!$H$4:$H$270='List of materials'!$B13)*Décomposition!$K$4:$K$270),0), 0)</f>
        <v>0</v>
      </c>
      <c r="I13">
        <f t="shared" ca="1" si="4"/>
        <v>21781.61809278488</v>
      </c>
      <c r="J13">
        <f ca="1">_xlfn.XLOOKUP(B13,'Baumaterialien Matériaux'!AD:AD,'Baumaterialien Matériaux'!F:F)</f>
        <v>485</v>
      </c>
      <c r="L13" s="254" t="str">
        <f ca="1"/>
        <v>Tuile en terre cuite</v>
      </c>
      <c r="M13">
        <f ca="1"/>
        <v>22.268399882643862</v>
      </c>
      <c r="N13" t="str">
        <f ca="1"/>
        <v>kg</v>
      </c>
      <c r="O13" t="str">
        <f ca="1"/>
        <v>03.015</v>
      </c>
      <c r="P13">
        <f ca="1"/>
        <v>4618.8021535170055</v>
      </c>
      <c r="Q13">
        <f t="shared" ca="1" si="0"/>
        <v>68.293355173079945</v>
      </c>
      <c r="R13">
        <f t="shared" ca="1" si="1"/>
        <v>1</v>
      </c>
      <c r="S13" s="156">
        <f t="shared" ca="1" si="3"/>
        <v>3.0150000000000003E-3</v>
      </c>
      <c r="U13" t="str">
        <f ca="1"/>
        <v>Sondes géothermiques</v>
      </c>
      <c r="V13">
        <f ca="1"/>
        <v>21.806249999999999</v>
      </c>
      <c r="W13">
        <f ca="1"/>
        <v>71.194462872272979</v>
      </c>
      <c r="X13" s="156">
        <f ca="1"/>
        <v>0</v>
      </c>
      <c r="AB13" t="str">
        <f ca="1"/>
        <v>Polyéthylène (HDPE)</v>
      </c>
      <c r="AC13">
        <f ca="1"/>
        <v>9.5</v>
      </c>
      <c r="AD13" t="str">
        <f ca="1"/>
        <v>kg</v>
      </c>
      <c r="AE13" t="str">
        <f ca="1"/>
        <v>13.002</v>
      </c>
      <c r="AG13" s="978" t="str">
        <f>_xlfn.XLOOKUP("11",'Baumaterialien Matériaux'!A:A,'Baumaterialien Matériaux'!AD:AD,0,0,1)</f>
        <v>Revêtements de sol</v>
      </c>
      <c r="AH13">
        <f ca="1">IFERROR(SUM(_xlfn.XLOOKUP("11.???",AE:AE,AC:AC,0,2,1):_xlfn.XLOOKUP("11.???",AE:AE,AC:AC,0,2,-1)),0)</f>
        <v>21.795800000000003</v>
      </c>
      <c r="AI13" s="978">
        <f t="shared" ca="1" si="2"/>
        <v>0.36326333333333338</v>
      </c>
    </row>
    <row r="14" spans="2:35">
      <c r="B14" s="1151" t="str" cm="1">
        <f t="array" aca="1" ref="B14" ca="1">IFERROR(INDEX(Décomposition!H17:H270,MATCH(0,COUNTIF($B$1:B13,Décomposition!H17:H270),0)),-1)</f>
        <v>Bois massif épicéa / sapin / mélèze, séché en cellule, raboté</v>
      </c>
      <c r="C14" s="158" cm="1">
        <f t="array" aca="1" ref="C14" ca="1">IFERROR(SUM((Décomposition!$H$4:$H$270='List of materials'!B14)*Décomposition!$T$4:$T$270),0)</f>
        <v>17.407225400000002</v>
      </c>
      <c r="D14" s="1152" t="str">
        <f ca="1">_xlfn.XLOOKUP(B14, Décomposition!H:H, Décomposition!J:J, 0,0,1)</f>
        <v>kg</v>
      </c>
      <c r="E14" s="1152" t="str">
        <f ca="1">_xlfn.XLOOKUP(B14, Décomposition!H:H, Décomposition!I:I, 0,0,1)</f>
        <v>07.011</v>
      </c>
      <c r="F14" s="1153" cm="1">
        <f t="array" aca="1" ref="F14" ca="1">IFERROR(SUM((Décomposition!$H$4:$H$270='List of materials'!$B14)*Décomposition!$K$4:$K$270),0)</f>
        <v>12327.584000000001</v>
      </c>
      <c r="G14" s="158" cm="1">
        <f t="array" aca="1" ref="G14" ca="1">IF($D14=$G$1, IFERROR(SUM((Décomposition!$H$4:$H$270='List of materials'!$B14)*Décomposition!$K$4:$K$270),0), 0)</f>
        <v>0</v>
      </c>
      <c r="H14" cm="1">
        <f t="array" aca="1" ref="H14" ca="1">IF($D14=$H$1, IFERROR(SUM((Décomposition!$H$4:$H$270='List of materials'!$B14)*Décomposition!$K$4:$K$270),0), 0)</f>
        <v>0</v>
      </c>
      <c r="I14">
        <f t="shared" ca="1" si="4"/>
        <v>12327.584000000001</v>
      </c>
      <c r="J14">
        <f ca="1">_xlfn.XLOOKUP(B14,'Baumaterialien Matériaux'!AD:AD,'Baumaterialien Matériaux'!F:F)</f>
        <v>465</v>
      </c>
      <c r="L14" s="254" t="str">
        <f ca="1"/>
        <v>Sondes géothermiques</v>
      </c>
      <c r="M14">
        <f ca="1"/>
        <v>21.806249999999999</v>
      </c>
      <c r="N14" t="str">
        <f ca="1"/>
        <v>m2</v>
      </c>
      <c r="O14" t="str">
        <f ca="1"/>
        <v>31.016</v>
      </c>
      <c r="P14">
        <f ca="1"/>
        <v>150</v>
      </c>
      <c r="Q14">
        <f t="shared" ca="1" si="0"/>
        <v>71.194462872272979</v>
      </c>
      <c r="R14">
        <f t="shared" ca="1" si="1"/>
        <v>0</v>
      </c>
      <c r="S14" s="156">
        <f t="shared" ca="1" si="3"/>
        <v>0</v>
      </c>
      <c r="U14" t="str">
        <f ca="1"/>
        <v>Bois massif épicéa / sapin / mélèze, séché à l'air, brut</v>
      </c>
      <c r="V14">
        <f ca="1"/>
        <v>18.537873265079543</v>
      </c>
      <c r="W14">
        <f ca="1"/>
        <v>73.660745101266372</v>
      </c>
      <c r="X14" s="156">
        <f ca="1"/>
        <v>7.0090000000000005E-3</v>
      </c>
      <c r="AB14" t="str">
        <f ca="1"/>
        <v>Portes extérieures aluminium, avec vitrage</v>
      </c>
      <c r="AC14">
        <f ca="1"/>
        <v>5.6647499999999997</v>
      </c>
      <c r="AD14" t="str">
        <f ca="1"/>
        <v>m2</v>
      </c>
      <c r="AE14" t="str">
        <f ca="1"/>
        <v>12.005</v>
      </c>
      <c r="AG14" s="978" t="str">
        <f>_xlfn.XLOOKUP("12",'Baumaterialien Matériaux'!A:A,'Baumaterialien Matériaux'!AD:AD,0,0,1)</f>
        <v>Portes</v>
      </c>
      <c r="AH14">
        <f ca="1">IFERROR(SUM(_xlfn.XLOOKUP("12.*",AE:AE,AC:AC,0,2,1):_xlfn.XLOOKUP("12.*",AE:AE,AC:AC,0,2,-1)),0)</f>
        <v>5.6647499999999997</v>
      </c>
      <c r="AI14" s="978">
        <f t="shared" ca="1" si="2"/>
        <v>9.4412499999999996E-2</v>
      </c>
    </row>
    <row r="15" spans="2:35">
      <c r="B15" s="1151" t="str" cm="1">
        <f t="array" aca="1" ref="B15" ca="1">IFERROR(INDEX(Décomposition!H18:H270,MATCH(0,COUNTIF($B$1:B14,Décomposition!H18:H270),0)),-1)</f>
        <v>Enduit, diluable à l'eau, 2 couches</v>
      </c>
      <c r="C15" s="158" cm="1">
        <f t="array" aca="1" ref="C15" ca="1">IFERROR(SUM((Décomposition!$H$4:$H$270='List of materials'!B15)*Décomposition!$T$4:$T$270),0)</f>
        <v>11.187646000000001</v>
      </c>
      <c r="D15" s="1152" t="str">
        <f ca="1">_xlfn.XLOOKUP(B15, Décomposition!H:H, Décomposition!J:J, 0,0,1)</f>
        <v>m2</v>
      </c>
      <c r="E15" s="1152" t="str">
        <f ca="1">_xlfn.XLOOKUP(B15, Décomposition!H:H, Décomposition!I:I, 0,0,1)</f>
        <v>14.001</v>
      </c>
      <c r="F15" s="1153" cm="1">
        <f t="array" aca="1" ref="F15" ca="1">IFERROR(SUM((Décomposition!$H$4:$H$270='List of materials'!$B15)*Décomposition!$K$4:$K$270),0)</f>
        <v>1276.4000000000001</v>
      </c>
      <c r="G15" s="158" cm="1">
        <f t="array" aca="1" ref="G15" ca="1">IF($D15=$G$1, IFERROR(SUM((Décomposition!$H$4:$H$270='List of materials'!$B15)*Décomposition!$K$4:$K$270),0), 0)</f>
        <v>1276.4000000000001</v>
      </c>
      <c r="H15" cm="1">
        <f t="array" aca="1" ref="H15" ca="1">IF($D15=$H$1, IFERROR(SUM((Décomposition!$H$4:$H$270='List of materials'!$B15)*Décomposition!$K$4:$K$270),0), 0)</f>
        <v>0</v>
      </c>
      <c r="I15">
        <f t="shared" ca="1" si="4"/>
        <v>1276.4000000000001</v>
      </c>
      <c r="J15">
        <f ca="1">_xlfn.XLOOKUP(B15,'Baumaterialien Matériaux'!AD:AD,'Baumaterialien Matériaux'!F:F)</f>
        <v>0.3</v>
      </c>
      <c r="L15" s="254" t="str">
        <f ca="1"/>
        <v>Bois massif épicéa / sapin / mélèze, séché à l'air, brut</v>
      </c>
      <c r="M15">
        <f ca="1"/>
        <v>18.537873265079543</v>
      </c>
      <c r="N15" t="str">
        <f ca="1"/>
        <v>kg</v>
      </c>
      <c r="O15" t="str">
        <f ca="1"/>
        <v>07.009</v>
      </c>
      <c r="P15">
        <f ca="1"/>
        <v>21781.61809278488</v>
      </c>
      <c r="Q15">
        <f t="shared" ca="1" si="0"/>
        <v>73.660745101266372</v>
      </c>
      <c r="R15">
        <f t="shared" ca="1" si="1"/>
        <v>1</v>
      </c>
      <c r="S15" s="156">
        <f t="shared" ca="1" si="3"/>
        <v>7.0090000000000005E-3</v>
      </c>
      <c r="U15" t="str">
        <f ca="1"/>
        <v>Bois massif 3 et 5 plis</v>
      </c>
      <c r="V15">
        <f ca="1"/>
        <v>17.646583402499999</v>
      </c>
      <c r="W15">
        <f ca="1"/>
        <v>76.008449955307981</v>
      </c>
      <c r="X15" s="156">
        <f ca="1"/>
        <v>7.0010000000000003E-3</v>
      </c>
      <c r="AB15" t="str">
        <f ca="1"/>
        <v>Parquet, 2 plis, vitrifié d'usine, 11 mm</v>
      </c>
      <c r="AC15">
        <f ca="1"/>
        <v>10.9298</v>
      </c>
      <c r="AD15" t="str">
        <f ca="1"/>
        <v>m2</v>
      </c>
      <c r="AE15" t="str">
        <f ca="1"/>
        <v>11.018</v>
      </c>
      <c r="AG15" s="978" t="str">
        <f>_xlfn.XLOOKUP("13",'Baumaterialien Matériaux'!A:A,'Baumaterialien Matériaux'!AD:AD,0,0,1)</f>
        <v>Tuyaux</v>
      </c>
      <c r="AH15">
        <f ca="1">IFERROR(SUM(_xlfn.XLOOKUP("13.*",AE:AE,AC:AC,0,2,1):_xlfn.XLOOKUP("13.*",AE:AE,AC:AC,0,2,-1)),0)</f>
        <v>9.5</v>
      </c>
      <c r="AI15" s="978">
        <f t="shared" ca="1" si="2"/>
        <v>0.15833333333333333</v>
      </c>
    </row>
    <row r="16" spans="2:35">
      <c r="B16" s="1151" t="str" cm="1">
        <f t="array" aca="1" ref="B16" ca="1">IFERROR(INDEX(Décomposition!H19:H292,MATCH(0,COUNTIF($B$1:B15,Décomposition!H19:H292),0)),-1)</f>
        <v>Tôle d'acier nickel-chrome 18/8, nue</v>
      </c>
      <c r="C16" s="158" cm="1">
        <f t="array" aca="1" ref="C16" ca="1">IFERROR(SUM((Décomposition!$H$4:$H$270='List of materials'!B16)*Décomposition!$T$4:$T$270),0)</f>
        <v>4.1505570842399999</v>
      </c>
      <c r="D16" s="1152" t="str">
        <f ca="1">_xlfn.XLOOKUP(B16, Décomposition!H:H, Décomposition!J:J, 0,0,1)</f>
        <v>kg</v>
      </c>
      <c r="E16" s="1152" t="str">
        <f ca="1">_xlfn.XLOOKUP(B16, Décomposition!H:H, Décomposition!I:I, 0,0,1)</f>
        <v>06.004</v>
      </c>
      <c r="F16" s="1153" cm="1">
        <f t="array" aca="1" ref="F16" ca="1">IFERROR(SUM((Décomposition!$H$4:$H$270='List of materials'!$B16)*Décomposition!$K$4:$K$270),0)</f>
        <v>80.653439999999989</v>
      </c>
      <c r="G16" s="158" cm="1">
        <f t="array" aca="1" ref="G16" ca="1">IF($D16=$G$1, IFERROR(SUM((Décomposition!$H$4:$H$270='List of materials'!$B16)*Décomposition!$K$4:$K$270),0), 0)</f>
        <v>0</v>
      </c>
      <c r="H16" cm="1">
        <f t="array" aca="1" ref="H16" ca="1">IF($D16=$H$1, IFERROR(SUM((Décomposition!$H$4:$H$270='List of materials'!$B16)*Décomposition!$K$4:$K$270),0), 0)</f>
        <v>0</v>
      </c>
      <c r="I16">
        <f t="shared" ca="1" si="4"/>
        <v>80.653439999999989</v>
      </c>
      <c r="J16">
        <f ca="1">_xlfn.XLOOKUP(B16,'Baumaterialien Matériaux'!AD:AD,'Baumaterialien Matériaux'!F:F)</f>
        <v>7900</v>
      </c>
      <c r="L16" s="254" t="str">
        <f ca="1"/>
        <v>Bois massif 3 et 5 plis</v>
      </c>
      <c r="M16">
        <f ca="1"/>
        <v>17.646583402499999</v>
      </c>
      <c r="N16" t="str">
        <f ca="1"/>
        <v>kg</v>
      </c>
      <c r="O16" t="str">
        <f ca="1"/>
        <v>07.001</v>
      </c>
      <c r="P16">
        <f ca="1"/>
        <v>6016.308</v>
      </c>
      <c r="Q16">
        <f t="shared" ca="1" si="0"/>
        <v>76.008449955307981</v>
      </c>
      <c r="R16">
        <f t="shared" ca="1" si="1"/>
        <v>1</v>
      </c>
      <c r="S16" s="156">
        <f t="shared" ca="1" si="3"/>
        <v>7.0010000000000003E-3</v>
      </c>
      <c r="U16" t="str">
        <f ca="1"/>
        <v>Bois massif épicéa / sapin / mélèze, séché en cellule, raboté</v>
      </c>
      <c r="V16">
        <f ca="1"/>
        <v>17.407225400000002</v>
      </c>
      <c r="W16">
        <f ca="1"/>
        <v>78.324310574604226</v>
      </c>
      <c r="X16" s="156">
        <f ca="1"/>
        <v>7.0109999999999999E-3</v>
      </c>
      <c r="AB16" t="str">
        <f ca="1"/>
        <v>Dalle en céramique/grès, 9 mm</v>
      </c>
      <c r="AC16">
        <f ca="1"/>
        <v>10.866000000000003</v>
      </c>
      <c r="AD16" t="str">
        <f ca="1"/>
        <v>m2</v>
      </c>
      <c r="AE16" t="str">
        <f ca="1"/>
        <v>11.008</v>
      </c>
      <c r="AG16" s="978" t="str">
        <f>_xlfn.XLOOKUP("14",'Baumaterialien Matériaux'!A:A,'Baumaterialien Matériaux'!AD:AD,0,0,1)</f>
        <v>Enduits et revêtements</v>
      </c>
      <c r="AH16">
        <f ca="1">IFERROR(SUM(_xlfn.XLOOKUP("14.*",AE:AE,AC:AC,0,2,1):_xlfn.XLOOKUP("14.*",AE:AE,AC:AC,0,2,-1)),0)</f>
        <v>11.476926000000001</v>
      </c>
      <c r="AI16" s="978">
        <f t="shared" ca="1" si="2"/>
        <v>0.19128210000000001</v>
      </c>
    </row>
    <row r="17" spans="2:35">
      <c r="B17" s="1151" t="str" cm="1">
        <f t="array" aca="1" ref="B17" ca="1">IFERROR(INDEX(Décomposition!H20:H292,MATCH(0,COUNTIF($B$1:B16,Décomposition!H20:H292),0)),-1)</f>
        <v xml:space="preserve">Polyamide (PA) renforcé par des fibres de verre </v>
      </c>
      <c r="C17" s="158" cm="1">
        <f t="array" aca="1" ref="C17" ca="1">IFERROR(SUM((Décomposition!$H$4:$H$270='List of materials'!B17)*Décomposition!$T$4:$T$270),0)</f>
        <v>6.3991916800000004</v>
      </c>
      <c r="D17" s="1152" t="str">
        <f ca="1">_xlfn.XLOOKUP(B17, Décomposition!H:H, Décomposition!J:J, 0,0,1)</f>
        <v>kg</v>
      </c>
      <c r="E17" s="1152" t="str">
        <f ca="1">_xlfn.XLOOKUP(B17, Décomposition!H:H, Décomposition!I:I, 0,0,1)</f>
        <v>15.002</v>
      </c>
      <c r="F17" s="1153" cm="1">
        <f t="array" aca="1" ref="F17" ca="1">IFERROR(SUM((Décomposition!$H$4:$H$270='List of materials'!$B17)*Décomposition!$K$4:$K$270),0)</f>
        <v>44.477440000000001</v>
      </c>
      <c r="G17" s="158" cm="1">
        <f t="array" aca="1" ref="G17" ca="1">IF($D17=$G$1, IFERROR(SUM((Décomposition!$H$4:$H$270='List of materials'!$B17)*Décomposition!$K$4:$K$270),0), 0)</f>
        <v>0</v>
      </c>
      <c r="H17" cm="1">
        <f t="array" aca="1" ref="H17" ca="1">IF($D17=$H$1, IFERROR(SUM((Décomposition!$H$4:$H$270='List of materials'!$B17)*Décomposition!$K$4:$K$270),0), 0)</f>
        <v>0</v>
      </c>
      <c r="I17">
        <f t="shared" ca="1" si="4"/>
        <v>44.477440000000001</v>
      </c>
      <c r="J17">
        <f ca="1">_xlfn.XLOOKUP(B17,'Baumaterialien Matériaux'!AD:AD,'Baumaterialien Matériaux'!F:F)</f>
        <v>1360</v>
      </c>
      <c r="L17" s="254" t="str">
        <f ca="1"/>
        <v>Bois massif épicéa / sapin / mélèze, séché en cellule, raboté</v>
      </c>
      <c r="M17">
        <f ca="1"/>
        <v>17.407225400000002</v>
      </c>
      <c r="N17" t="str">
        <f ca="1"/>
        <v>kg</v>
      </c>
      <c r="O17" t="str">
        <f ca="1"/>
        <v>07.011</v>
      </c>
      <c r="P17">
        <f ca="1"/>
        <v>12327.584000000001</v>
      </c>
      <c r="Q17">
        <f t="shared" ca="1" si="0"/>
        <v>78.324310574604226</v>
      </c>
      <c r="R17">
        <f t="shared" ca="1" si="1"/>
        <v>1</v>
      </c>
      <c r="S17" s="156">
        <f t="shared" ca="1" si="3"/>
        <v>7.0109999999999999E-3</v>
      </c>
      <c r="U17" t="str">
        <f ca="1"/>
        <v>Cadre de fenêtre en bois</v>
      </c>
      <c r="V17">
        <f ca="1"/>
        <v>17.371200000000002</v>
      </c>
      <c r="W17">
        <f ca="1"/>
        <v>80.635378367747109</v>
      </c>
      <c r="X17" s="156">
        <f ca="1"/>
        <v>0</v>
      </c>
      <c r="AB17" t="str">
        <f ca="1"/>
        <v>Laine de roche</v>
      </c>
      <c r="AC17">
        <f ca="1"/>
        <v>69.476293641513649</v>
      </c>
      <c r="AD17" t="str">
        <f ca="1"/>
        <v>kg</v>
      </c>
      <c r="AE17" t="str">
        <f ca="1"/>
        <v>10.008</v>
      </c>
      <c r="AG17" s="978" t="str">
        <f>_xlfn.XLOOKUP("15",'Baumaterialien Matériaux'!A:A,'Baumaterialien Matériaux'!AD:AD,0,0,1)</f>
        <v>Matières plastique</v>
      </c>
      <c r="AH17">
        <f ca="1">IFERROR(SUM(_xlfn.XLOOKUP("15.*",AE:AE,AC:AC,0,2,1):_xlfn.XLOOKUP("15.*",AE:AE,AC:AC,0,2,-1)),0)</f>
        <v>6.3991916800000004</v>
      </c>
      <c r="AI17" s="978">
        <f t="shared" ca="1" si="2"/>
        <v>0.10665319466666667</v>
      </c>
    </row>
    <row r="18" spans="2:35">
      <c r="B18" s="1151" t="str" cm="1">
        <f t="array" aca="1" ref="B18" ca="1">IFERROR(INDEX(Décomposition!H21:H292,MATCH(0,COUNTIF($B$1:B17,Décomposition!H21:H292),0)),-1)</f>
        <v>Tôle d'acier, zinguée</v>
      </c>
      <c r="C18" s="158" cm="1">
        <f t="array" aca="1" ref="C18" ca="1">IFERROR(SUM((Décomposition!$H$4:$H$270='List of materials'!B18)*Décomposition!$T$4:$T$270),0)</f>
        <v>12.460064152890189</v>
      </c>
      <c r="D18" s="1152" t="str">
        <f ca="1">_xlfn.XLOOKUP(B18, Décomposition!H:H, Décomposition!J:J, 0,0,1)</f>
        <v>kg</v>
      </c>
      <c r="E18" s="1152" t="str">
        <f ca="1">_xlfn.XLOOKUP(B18, Décomposition!H:H, Décomposition!I:I, 0,0,1)</f>
        <v>06.011</v>
      </c>
      <c r="F18" s="1153" cm="1">
        <f t="array" aca="1" ref="F18" ca="1">IFERROR(SUM((Décomposition!$H$4:$H$270='List of materials'!$B18)*Décomposition!$K$4:$K$270),0)</f>
        <v>222.15749571114659</v>
      </c>
      <c r="G18" s="158" cm="1">
        <f t="array" aca="1" ref="G18" ca="1">IF($D18=$G$1, IFERROR(SUM((Décomposition!$H$4:$H$270='List of materials'!$B18)*Décomposition!$K$4:$K$270),0), 0)</f>
        <v>0</v>
      </c>
      <c r="H18" cm="1">
        <f t="array" aca="1" ref="H18" ca="1">IF($D18=$H$1, IFERROR(SUM((Décomposition!$H$4:$H$270='List of materials'!$B18)*Décomposition!$K$4:$K$270),0), 0)</f>
        <v>0</v>
      </c>
      <c r="I18">
        <f t="shared" ca="1" si="4"/>
        <v>222.15749571114659</v>
      </c>
      <c r="J18">
        <f ca="1">_xlfn.XLOOKUP(B18,'Baumaterialien Matériaux'!AD:AD,'Baumaterialien Matériaux'!F:F)</f>
        <v>7850</v>
      </c>
      <c r="L18" s="254" t="str">
        <f ca="1"/>
        <v>Cadre de fenêtre en bois</v>
      </c>
      <c r="M18">
        <f ca="1"/>
        <v>17.371200000000002</v>
      </c>
      <c r="N18" t="str">
        <f ca="1"/>
        <v>m2</v>
      </c>
      <c r="O18" t="str">
        <f ca="1"/>
        <v>05.005</v>
      </c>
      <c r="P18">
        <f ca="1"/>
        <v>38.4</v>
      </c>
      <c r="Q18">
        <f t="shared" ca="1" si="0"/>
        <v>80.635378367747109</v>
      </c>
      <c r="R18">
        <f t="shared" ca="1" si="1"/>
        <v>0</v>
      </c>
      <c r="S18" s="156">
        <f t="shared" ca="1" si="3"/>
        <v>0</v>
      </c>
      <c r="U18" t="str">
        <f ca="1"/>
        <v>Plaque de plâtre armé de fibres</v>
      </c>
      <c r="V18">
        <f ca="1"/>
        <v>13.2384</v>
      </c>
      <c r="W18">
        <f ca="1"/>
        <v>82.39661765304362</v>
      </c>
      <c r="X18" s="156">
        <f ca="1"/>
        <v>3.0070000000000001E-3</v>
      </c>
      <c r="AB18" t="str">
        <f ca="1"/>
        <v>Polystyrène extrudé (XPS)</v>
      </c>
      <c r="AC18">
        <f ca="1"/>
        <v>1.7267999999999999</v>
      </c>
      <c r="AD18" t="str">
        <f ca="1"/>
        <v>kg</v>
      </c>
      <c r="AE18" t="str">
        <f ca="1"/>
        <v>10.005</v>
      </c>
      <c r="AG18" s="978" t="s">
        <v>3948</v>
      </c>
      <c r="AH18">
        <f ca="1">IFERROR(SUM(_xlfn.XLOOKUP("3*",AE:AE,AC:AC,0,2,1):_xlfn.XLOOKUP("3*",AE:AE,AC:AC,0,2,-1)),0)</f>
        <v>121.10225000000001</v>
      </c>
      <c r="AI18" s="978">
        <f t="shared" ca="1" si="2"/>
        <v>2.0183708333333334</v>
      </c>
    </row>
    <row r="19" spans="2:35">
      <c r="B19" s="1151" t="str" cm="1">
        <f t="array" aca="1" ref="B19" ca="1">IFERROR(INDEX(Décomposition!H22:H292,MATCH(0,COUNTIF($B$1:B18,Décomposition!H22:H292),0)),-1)</f>
        <v>Laine de roche</v>
      </c>
      <c r="C19" s="158" cm="1">
        <f t="array" aca="1" ref="C19" ca="1">IFERROR(SUM((Décomposition!$H$4:$H$270='List of materials'!B19)*Décomposition!$T$4:$T$270),0)</f>
        <v>69.476293641513649</v>
      </c>
      <c r="D19" s="1152" t="str">
        <f ca="1">_xlfn.XLOOKUP(B19, Décomposition!H:H, Décomposition!J:J, 0,0,1)</f>
        <v>kg</v>
      </c>
      <c r="E19" s="1152" t="str">
        <f ca="1">_xlfn.XLOOKUP(B19, Décomposition!H:H, Décomposition!I:I, 0,0,1)</f>
        <v>10.008</v>
      </c>
      <c r="F19" s="1153" cm="1">
        <f t="array" aca="1" ref="F19" ca="1">IFERROR(SUM((Décomposition!$H$4:$H$270='List of materials'!$B19)*Décomposition!$K$4:$K$270),0)</f>
        <v>7025.7322853725709</v>
      </c>
      <c r="G19" s="158" cm="1">
        <f t="array" aca="1" ref="G19" ca="1">IF($D19=$G$1, IFERROR(SUM((Décomposition!$H$4:$H$270='List of materials'!$B19)*Décomposition!$K$4:$K$270),0), 0)</f>
        <v>0</v>
      </c>
      <c r="H19" cm="1">
        <f t="array" aca="1" ref="H19" ca="1">IF($D19=$H$1, IFERROR(SUM((Décomposition!$H$4:$H$270='List of materials'!$B19)*Décomposition!$K$4:$K$270),0), 0)</f>
        <v>0</v>
      </c>
      <c r="I19">
        <f t="shared" ca="1" si="4"/>
        <v>7025.7322853725709</v>
      </c>
      <c r="J19" t="str">
        <f ca="1">_xlfn.XLOOKUP(B19,'Baumaterialien Matériaux'!AD:AD,'Baumaterialien Matériaux'!F:F)</f>
        <v>32-160</v>
      </c>
      <c r="L19" s="254" t="str">
        <f ca="1"/>
        <v>Plaque de plâtre armé de fibres</v>
      </c>
      <c r="M19">
        <f ca="1"/>
        <v>13.2384</v>
      </c>
      <c r="N19" t="str">
        <f ca="1"/>
        <v>kg</v>
      </c>
      <c r="O19" t="str">
        <f ca="1"/>
        <v>03.007</v>
      </c>
      <c r="P19">
        <f ca="1"/>
        <v>1920</v>
      </c>
      <c r="Q19">
        <f t="shared" ca="1" si="0"/>
        <v>82.39661765304362</v>
      </c>
      <c r="R19">
        <f t="shared" ca="1" si="1"/>
        <v>1</v>
      </c>
      <c r="S19" s="156">
        <f t="shared" ca="1" si="3"/>
        <v>3.0070000000000001E-3</v>
      </c>
      <c r="U19" t="str">
        <f ca="1"/>
        <v>Tôle d'acier, zinguée</v>
      </c>
      <c r="V19">
        <f ca="1"/>
        <v>12.460064152890189</v>
      </c>
      <c r="W19">
        <f ca="1"/>
        <v>84.054306987357819</v>
      </c>
      <c r="X19" s="156">
        <f ca="1"/>
        <v>6.0109999999999999E-3</v>
      </c>
      <c r="AB19" t="str">
        <f ca="1"/>
        <v>Voile de polyéthylène (PE)</v>
      </c>
      <c r="AC19">
        <f ca="1"/>
        <v>5.9681269643505264</v>
      </c>
      <c r="AD19" t="str">
        <f ca="1"/>
        <v>kg</v>
      </c>
      <c r="AE19" t="str">
        <f ca="1"/>
        <v>09.008</v>
      </c>
      <c r="AG19" t="s">
        <v>3949</v>
      </c>
      <c r="AH19">
        <f ca="1">IFERROR(SUM(_xlfn.XLOOKUP("6*",AE:AE,AC:AC,0,2,1):_xlfn.XLOOKUP("6*",AE:AE,AC:AC,0,2,-1)),0)</f>
        <v>1.3540586842217783</v>
      </c>
      <c r="AI19" s="978">
        <f t="shared" ca="1" si="2"/>
        <v>2.256764473702964E-2</v>
      </c>
    </row>
    <row r="20" spans="2:35">
      <c r="B20" s="1151" t="str" cm="1">
        <f t="array" aca="1" ref="B20" ca="1">IFERROR(INDEX(Décomposition!H23:H292,MATCH(0,COUNTIF($B$1:B19,Décomposition!H23:H292),0)),-1)</f>
        <v>Cadre de fenêtre en bois</v>
      </c>
      <c r="C20" s="158" cm="1">
        <f t="array" aca="1" ref="C20" ca="1">IFERROR(SUM((Décomposition!$H$4:$H$270='List of materials'!B20)*Décomposition!$T$4:$T$270),0)</f>
        <v>17.371200000000002</v>
      </c>
      <c r="D20" s="1152" t="str">
        <f ca="1">_xlfn.XLOOKUP(B20, Décomposition!H:H, Décomposition!J:J, 0,0,1)</f>
        <v>m2</v>
      </c>
      <c r="E20" s="1152" t="str">
        <f ca="1">_xlfn.XLOOKUP(B20, Décomposition!H:H, Décomposition!I:I, 0,0,1)</f>
        <v>05.005</v>
      </c>
      <c r="F20" s="1153" cm="1">
        <f t="array" aca="1" ref="F20" ca="1">IFERROR(SUM((Décomposition!$H$4:$H$270='List of materials'!$B20)*Décomposition!$K$4:$K$270),0)</f>
        <v>38.4</v>
      </c>
      <c r="G20" s="158" cm="1">
        <f t="array" aca="1" ref="G20" ca="1">IF($D20=$G$1, IFERROR(SUM((Décomposition!$H$4:$H$270='List of materials'!$B20)*Décomposition!$K$4:$K$270),0), 0)</f>
        <v>38.4</v>
      </c>
      <c r="H20" cm="1">
        <f t="array" aca="1" ref="H20" ca="1">IF($D20=$H$1, IFERROR(SUM((Décomposition!$H$4:$H$270='List of materials'!$B20)*Décomposition!$K$4:$K$270),0), 0)</f>
        <v>0</v>
      </c>
      <c r="I20">
        <f t="shared" ca="1" si="4"/>
        <v>38.4</v>
      </c>
      <c r="J20" t="str">
        <f ca="1">_xlfn.XLOOKUP(B20,'Baumaterialien Matériaux'!AD:AD,'Baumaterialien Matériaux'!F:F)</f>
        <v>-</v>
      </c>
      <c r="L20" s="254" t="str">
        <f ca="1"/>
        <v>Tôle d'acier, zinguée</v>
      </c>
      <c r="M20">
        <f ca="1"/>
        <v>12.460064152890189</v>
      </c>
      <c r="N20" t="str">
        <f ca="1"/>
        <v>kg</v>
      </c>
      <c r="O20" t="str">
        <f ca="1"/>
        <v>06.011</v>
      </c>
      <c r="P20">
        <f ca="1"/>
        <v>222.15749571114659</v>
      </c>
      <c r="Q20">
        <f t="shared" ca="1" si="0"/>
        <v>84.054306987357819</v>
      </c>
      <c r="R20">
        <f t="shared" ca="1" si="1"/>
        <v>1</v>
      </c>
      <c r="S20" s="156">
        <f t="shared" ca="1" si="3"/>
        <v>6.0109999999999999E-3</v>
      </c>
      <c r="U20" t="str">
        <f ca="1"/>
        <v>Enduit, diluable à l'eau, 2 couches</v>
      </c>
      <c r="V20">
        <f ca="1"/>
        <v>11.187646000000001</v>
      </c>
      <c r="W20">
        <f ca="1"/>
        <v>85.542713565584066</v>
      </c>
      <c r="X20" s="156">
        <f ca="1"/>
        <v>4.2002999999999997E-3</v>
      </c>
      <c r="AB20" t="str">
        <f ca="1"/>
        <v>Feuille de polyéthylène (PE)</v>
      </c>
      <c r="AC20">
        <f ca="1"/>
        <v>1.1265258452427975</v>
      </c>
      <c r="AD20" t="str">
        <f ca="1"/>
        <v>kg</v>
      </c>
      <c r="AE20" t="str">
        <f ca="1"/>
        <v>09.007</v>
      </c>
    </row>
    <row r="21" spans="2:35">
      <c r="B21" s="1151" t="str" cm="1">
        <f t="array" aca="1" ref="B21" ca="1">IFERROR(INDEX(Décomposition!H24:H293,MATCH(0,COUNTIF($B$1:B20,Décomposition!H24:H293),0)),-1)</f>
        <v>Triple vitrage, U&lt;0.6 W/m2K, épaisseur 40 mm 3</v>
      </c>
      <c r="C21" s="158" cm="1">
        <f t="array" aca="1" ref="C21" ca="1">IFERROR(SUM((Décomposition!$H$4:$H$270='List of materials'!B21)*Décomposition!$T$4:$T$270),0)</f>
        <v>25.384319999999995</v>
      </c>
      <c r="D21" s="1152" t="str">
        <f ca="1">_xlfn.XLOOKUP(B21, Décomposition!H:H, Décomposition!J:J, 0,0,1)</f>
        <v>m2</v>
      </c>
      <c r="E21" s="1152" t="str">
        <f ca="1">_xlfn.XLOOKUP(B21, Décomposition!H:H, Décomposition!I:I, 0,0,1)</f>
        <v>05.012</v>
      </c>
      <c r="F21" s="1153" cm="1">
        <f t="array" aca="1" ref="F21" ca="1">IFERROR(SUM((Décomposition!$H$4:$H$270='List of materials'!$B21)*Décomposition!$K$4:$K$270),0)</f>
        <v>29.951999999999998</v>
      </c>
      <c r="G21" s="158" cm="1">
        <f t="array" aca="1" ref="G21" ca="1">IF($D21=$G$1, IFERROR(SUM((Décomposition!$H$4:$H$270='List of materials'!$B21)*Décomposition!$K$4:$K$270),0), 0)</f>
        <v>29.951999999999998</v>
      </c>
      <c r="H21" cm="1">
        <f t="array" aca="1" ref="H21" ca="1">IF($D21=$H$1, IFERROR(SUM((Décomposition!$H$4:$H$270='List of materials'!$B21)*Décomposition!$K$4:$K$270),0), 0)</f>
        <v>0</v>
      </c>
      <c r="I21">
        <f t="shared" ca="1" si="4"/>
        <v>29.951999999999998</v>
      </c>
      <c r="J21" t="str">
        <f ca="1">_xlfn.XLOOKUP(B21,'Baumaterialien Matériaux'!AD:AD,'Baumaterialien Matériaux'!F:F)</f>
        <v>-</v>
      </c>
      <c r="L21" s="254" t="str">
        <f ca="1"/>
        <v>Enduit, diluable à l'eau, 2 couches</v>
      </c>
      <c r="M21">
        <f ca="1"/>
        <v>11.187646000000001</v>
      </c>
      <c r="N21" t="str">
        <f ca="1"/>
        <v>m2</v>
      </c>
      <c r="O21" t="str">
        <f ca="1"/>
        <v>14.001</v>
      </c>
      <c r="P21">
        <f ca="1"/>
        <v>1276.4000000000001</v>
      </c>
      <c r="Q21">
        <f t="shared" ca="1" si="0"/>
        <v>85.542713565584066</v>
      </c>
      <c r="R21">
        <f t="shared" ca="1" si="1"/>
        <v>0.3</v>
      </c>
      <c r="S21" s="156">
        <f t="shared" ca="1" si="3"/>
        <v>4.2002999999999997E-3</v>
      </c>
      <c r="U21" t="str">
        <f ca="1"/>
        <v>Parquet, 2 plis, vitrifié d'usine, 11 mm</v>
      </c>
      <c r="V21">
        <f ca="1"/>
        <v>10.9298</v>
      </c>
      <c r="W21">
        <f ca="1"/>
        <v>86.996816262317353</v>
      </c>
      <c r="X21" s="156">
        <f ca="1"/>
        <v>6.72098E-2</v>
      </c>
      <c r="AB21" t="str">
        <f ca="1"/>
        <v>Colle bicomposant</v>
      </c>
      <c r="AC21">
        <f ca="1"/>
        <v>6.7717999999999998</v>
      </c>
      <c r="AD21" t="str">
        <f ca="1"/>
        <v>kg</v>
      </c>
      <c r="AE21" t="str">
        <f ca="1"/>
        <v>08.001</v>
      </c>
    </row>
    <row r="22" spans="2:35">
      <c r="B22" s="1151" t="str" cm="1">
        <f t="array" aca="1" ref="B22" ca="1">IFERROR(INDEX(Décomposition!H25:H294,MATCH(0,COUNTIF($B$1:B21,Décomposition!H25:H294),0)),-1)</f>
        <v>Protection solaire, stores vénitiens avec moteur 4</v>
      </c>
      <c r="C22" s="158" cm="1">
        <f t="array" aca="1" ref="C22" ca="1">IFERROR(SUM((Décomposition!$H$4:$H$270='List of materials'!B22)*Décomposition!$T$4:$T$270),0)</f>
        <v>28.785599999999999</v>
      </c>
      <c r="D22" s="1152" t="str">
        <f ca="1">_xlfn.XLOOKUP(B22, Décomposition!H:H, Décomposition!J:J, 0,0,1)</f>
        <v>m2</v>
      </c>
      <c r="E22" s="1152" t="str">
        <f ca="1">_xlfn.XLOOKUP(B22, Décomposition!H:H, Décomposition!I:I, 0,0,1)</f>
        <v>05.017</v>
      </c>
      <c r="F22" s="1153" cm="1">
        <f t="array" aca="1" ref="F22" ca="1">IFERROR(SUM((Décomposition!$H$4:$H$270='List of materials'!$B22)*Décomposition!$K$4:$K$270),0)</f>
        <v>38.4</v>
      </c>
      <c r="G22" s="158" cm="1">
        <f t="array" aca="1" ref="G22" ca="1">IF($D22=$G$1, IFERROR(SUM((Décomposition!$H$4:$H$270='List of materials'!$B22)*Décomposition!$K$4:$K$270),0), 0)</f>
        <v>38.4</v>
      </c>
      <c r="H22" cm="1">
        <f t="array" aca="1" ref="H22" ca="1">IF($D22=$H$1, IFERROR(SUM((Décomposition!$H$4:$H$270='List of materials'!$B22)*Décomposition!$K$4:$K$270),0), 0)</f>
        <v>0</v>
      </c>
      <c r="I22">
        <f t="shared" ca="1" si="4"/>
        <v>38.4</v>
      </c>
      <c r="J22" t="str">
        <f ca="1">_xlfn.XLOOKUP(B22,'Baumaterialien Matériaux'!AD:AD,'Baumaterialien Matériaux'!F:F)</f>
        <v>-</v>
      </c>
      <c r="L22" s="254" t="str">
        <f ca="1"/>
        <v>Parquet, 2 plis, vitrifié d'usine, 11 mm</v>
      </c>
      <c r="M22">
        <f ca="1"/>
        <v>10.9298</v>
      </c>
      <c r="N22" t="str">
        <f ca="1"/>
        <v>m2</v>
      </c>
      <c r="O22" t="str">
        <f ca="1"/>
        <v>11.018</v>
      </c>
      <c r="P22">
        <f ca="1"/>
        <v>112</v>
      </c>
      <c r="Q22">
        <f t="shared" ca="1" si="0"/>
        <v>86.996816262317353</v>
      </c>
      <c r="R22">
        <f t="shared" ca="1" si="1"/>
        <v>6.1</v>
      </c>
      <c r="S22" s="156">
        <f t="shared" ca="1" si="3"/>
        <v>6.72098E-2</v>
      </c>
      <c r="U22" t="str">
        <f ca="1"/>
        <v>Dalle en céramique/grès, 9 mm</v>
      </c>
      <c r="V22">
        <f ca="1"/>
        <v>10.866000000000003</v>
      </c>
      <c r="W22">
        <f ca="1"/>
        <v>88.442430994764777</v>
      </c>
      <c r="X22" s="156">
        <f ca="1"/>
        <v>0.19814399999999999</v>
      </c>
      <c r="AB22" t="str">
        <f ca="1"/>
        <v>Bois massif épicéa / sapin / mélèze, séché en cellule, raboté</v>
      </c>
      <c r="AC22">
        <f ca="1"/>
        <v>17.407225400000002</v>
      </c>
      <c r="AD22" t="str">
        <f ca="1"/>
        <v>kg</v>
      </c>
      <c r="AE22" t="str">
        <f ca="1"/>
        <v>07.011</v>
      </c>
    </row>
    <row r="23" spans="2:35">
      <c r="B23" s="1151" t="str" cm="1">
        <f t="array" aca="1" ref="B23" ca="1">IFERROR(INDEX(Décomposition!H26:H295,MATCH(0,COUNTIF($B$1:B22,Décomposition!H26:H295),0)),-1)</f>
        <v>Portes extérieures aluminium, avec vitrage</v>
      </c>
      <c r="C23" s="158" cm="1">
        <f t="array" aca="1" ref="C23" ca="1">IFERROR(SUM((Décomposition!$H$4:$H$270='List of materials'!B23)*Décomposition!$T$4:$T$270),0)</f>
        <v>5.6647499999999997</v>
      </c>
      <c r="D23" s="1152" t="str">
        <f ca="1">_xlfn.XLOOKUP(B23, Décomposition!H:H, Décomposition!J:J, 0,0,1)</f>
        <v>m2</v>
      </c>
      <c r="E23" s="1152" t="str">
        <f ca="1">_xlfn.XLOOKUP(B23, Décomposition!H:H, Décomposition!I:I, 0,0,1)</f>
        <v>12.005</v>
      </c>
      <c r="F23" s="1153" cm="1">
        <f t="array" aca="1" ref="F23" ca="1">IFERROR(SUM((Décomposition!$H$4:$H$270='List of materials'!$B23)*Décomposition!$K$4:$K$270),0)</f>
        <v>2.1</v>
      </c>
      <c r="G23" s="158" cm="1">
        <f t="array" aca="1" ref="G23" ca="1">IF($D23=$G$1, IFERROR(SUM((Décomposition!$H$4:$H$270='List of materials'!$B23)*Décomposition!$K$4:$K$270),0), 0)</f>
        <v>2.1</v>
      </c>
      <c r="H23" cm="1">
        <f t="array" aca="1" ref="H23" ca="1">IF($D23=$H$1, IFERROR(SUM((Décomposition!$H$4:$H$270='List of materials'!$B23)*Décomposition!$K$4:$K$270),0), 0)</f>
        <v>0</v>
      </c>
      <c r="I23">
        <f t="shared" ca="1" si="4"/>
        <v>2.1</v>
      </c>
      <c r="J23" t="str">
        <f ca="1">_xlfn.XLOOKUP(B23,'Baumaterialien Matériaux'!AD:AD,'Baumaterialien Matériaux'!F:F)</f>
        <v>-</v>
      </c>
      <c r="L23" s="254" t="str">
        <f ca="1"/>
        <v>Dalle en céramique/grès, 9 mm</v>
      </c>
      <c r="M23">
        <f ca="1"/>
        <v>10.866000000000003</v>
      </c>
      <c r="N23" t="str">
        <f ca="1"/>
        <v>m2</v>
      </c>
      <c r="O23" t="str">
        <f ca="1"/>
        <v>11.008</v>
      </c>
      <c r="P23">
        <f ca="1"/>
        <v>48</v>
      </c>
      <c r="Q23">
        <f t="shared" ca="1" si="0"/>
        <v>88.442430994764777</v>
      </c>
      <c r="R23">
        <f t="shared" ca="1" si="1"/>
        <v>18</v>
      </c>
      <c r="S23" s="156">
        <f t="shared" ca="1" si="3"/>
        <v>0.19814399999999999</v>
      </c>
      <c r="U23" t="str">
        <f ca="1"/>
        <v>Polyéthylène (HDPE)</v>
      </c>
      <c r="V23">
        <f ca="1"/>
        <v>9.5</v>
      </c>
      <c r="W23">
        <f ca="1"/>
        <v>89.706312824163859</v>
      </c>
      <c r="X23" s="156">
        <f ca="1"/>
        <v>1.3002000000000001E-2</v>
      </c>
      <c r="AB23" t="str">
        <f ca="1"/>
        <v>Bois massif épicéa / sapin / mélèze, séché à l'air, brut</v>
      </c>
      <c r="AC23">
        <f ca="1"/>
        <v>18.537873265079543</v>
      </c>
      <c r="AD23" t="str">
        <f ca="1"/>
        <v>kg</v>
      </c>
      <c r="AE23" t="str">
        <f ca="1"/>
        <v>07.009</v>
      </c>
    </row>
    <row r="24" spans="2:35">
      <c r="B24" s="1151" t="str" cm="1">
        <f t="array" aca="1" ref="B24" ca="1">IFERROR(INDEX(Décomposition!H27:H296,MATCH(0,COUNTIF($B$1:B23,Décomposition!H27:H296),0)),-1)</f>
        <v>Tuile en terre cuite</v>
      </c>
      <c r="C24" s="158" cm="1">
        <f t="array" aca="1" ref="C24" ca="1">IFERROR(SUM((Décomposition!$H$4:$H$270='List of materials'!B24)*Décomposition!$T$4:$T$270),0)</f>
        <v>22.268399882643862</v>
      </c>
      <c r="D24" s="1152" t="str">
        <f ca="1">_xlfn.XLOOKUP(B24, Décomposition!H:H, Décomposition!J:J, 0,0,1)</f>
        <v>kg</v>
      </c>
      <c r="E24" s="1152" t="str">
        <f ca="1">_xlfn.XLOOKUP(B24, Décomposition!H:H, Décomposition!I:I, 0,0,1)</f>
        <v>03.015</v>
      </c>
      <c r="F24" s="1153" cm="1">
        <f t="array" aca="1" ref="F24" ca="1">IFERROR(SUM((Décomposition!$H$4:$H$270='List of materials'!$B24)*Décomposition!$K$4:$K$270),0)</f>
        <v>4618.8021535170055</v>
      </c>
      <c r="G24" s="158" cm="1">
        <f t="array" aca="1" ref="G24" ca="1">IF($D24=$G$1, IFERROR(SUM((Décomposition!$H$4:$H$270='List of materials'!$B24)*Décomposition!$K$4:$K$270),0), 0)</f>
        <v>0</v>
      </c>
      <c r="H24" cm="1">
        <f t="array" aca="1" ref="H24" ca="1">IF($D24=$H$1, IFERROR(SUM((Décomposition!$H$4:$H$270='List of materials'!$B24)*Décomposition!$K$4:$K$270),0), 0)</f>
        <v>0</v>
      </c>
      <c r="I24">
        <f t="shared" ca="1" si="4"/>
        <v>4618.8021535170055</v>
      </c>
      <c r="J24">
        <f ca="1">_xlfn.XLOOKUP(B24,'Baumaterialien Matériaux'!AD:AD,'Baumaterialien Matériaux'!F:F)</f>
        <v>1700</v>
      </c>
      <c r="L24" s="254" t="str">
        <f ca="1"/>
        <v>Polyéthylène (HDPE)</v>
      </c>
      <c r="M24">
        <f ca="1"/>
        <v>9.5</v>
      </c>
      <c r="N24" t="str">
        <f ca="1"/>
        <v>kg</v>
      </c>
      <c r="O24" t="str">
        <f ca="1"/>
        <v>13.002</v>
      </c>
      <c r="P24">
        <f ca="1"/>
        <v>320</v>
      </c>
      <c r="Q24">
        <f t="shared" ca="1" si="0"/>
        <v>89.706312824163859</v>
      </c>
      <c r="R24">
        <f t="shared" ca="1" si="1"/>
        <v>1</v>
      </c>
      <c r="S24" s="156">
        <f t="shared" ca="1" si="3"/>
        <v>1.3002000000000001E-2</v>
      </c>
      <c r="U24" t="str">
        <f ca="1"/>
        <v>Béton maigre (sans armature)</v>
      </c>
      <c r="V24">
        <f ca="1"/>
        <v>7.8761666666666681</v>
      </c>
      <c r="W24">
        <f ca="1"/>
        <v>90.754159554197415</v>
      </c>
      <c r="X24" s="156">
        <f ca="1"/>
        <v>1.0009999999999999E-3</v>
      </c>
      <c r="AB24" t="str">
        <f ca="1"/>
        <v>Bois massif 3 et 5 plis</v>
      </c>
      <c r="AC24">
        <f ca="1"/>
        <v>17.646583402499999</v>
      </c>
      <c r="AD24" t="str">
        <f ca="1"/>
        <v>kg</v>
      </c>
      <c r="AE24" t="str">
        <f ca="1"/>
        <v>07.001</v>
      </c>
    </row>
    <row r="25" spans="2:35">
      <c r="B25" s="1151" t="str" cm="1">
        <f t="array" aca="1" ref="B25" ca="1">IFERROR(INDEX(Décomposition!H28:H297,MATCH(0,COUNTIF($B$1:B24,Décomposition!H28:H297),0)),-1)</f>
        <v>Feuille de polyéthylène (PE)</v>
      </c>
      <c r="C25" s="158" cm="1">
        <f t="array" aca="1" ref="C25" ca="1">IFERROR(SUM((Décomposition!$H$4:$H$270='List of materials'!B25)*Décomposition!$T$4:$T$270),0)</f>
        <v>1.1265258452427975</v>
      </c>
      <c r="D25" s="1152" t="str">
        <f ca="1">_xlfn.XLOOKUP(B25, Décomposition!H:H, Décomposition!J:J, 0,0,1)</f>
        <v>kg</v>
      </c>
      <c r="E25" s="1152" t="str">
        <f ca="1">_xlfn.XLOOKUP(B25, Décomposition!H:H, Décomposition!I:I, 0,0,1)</f>
        <v>09.007</v>
      </c>
      <c r="F25" s="1153" cm="1">
        <f t="array" aca="1" ref="F25" ca="1">IFERROR(SUM((Décomposition!$H$4:$H$270='List of materials'!$B25)*Décomposition!$K$4:$K$270),0)</f>
        <v>16.62768775266122</v>
      </c>
      <c r="G25" s="158" cm="1">
        <f t="array" aca="1" ref="G25" ca="1">IF($D25=$G$1, IFERROR(SUM((Décomposition!$H$4:$H$270='List of materials'!$B25)*Décomposition!$K$4:$K$270),0), 0)</f>
        <v>0</v>
      </c>
      <c r="H25" cm="1">
        <f t="array" aca="1" ref="H25" ca="1">IF($D25=$H$1, IFERROR(SUM((Décomposition!$H$4:$H$270='List of materials'!$B25)*Décomposition!$K$4:$K$270),0), 0)</f>
        <v>0</v>
      </c>
      <c r="I25">
        <f t="shared" ca="1" si="4"/>
        <v>16.62768775266122</v>
      </c>
      <c r="J25">
        <f ca="1">_xlfn.XLOOKUP(B25,'Baumaterialien Matériaux'!AD:AD,'Baumaterialien Matériaux'!F:F)</f>
        <v>920</v>
      </c>
      <c r="L25" s="254" t="str">
        <f ca="1"/>
        <v>Béton maigre (sans armature)</v>
      </c>
      <c r="M25">
        <f ca="1"/>
        <v>7.8761666666666681</v>
      </c>
      <c r="N25" t="str">
        <f ca="1"/>
        <v>kg</v>
      </c>
      <c r="O25" t="str">
        <f ca="1"/>
        <v>01.001</v>
      </c>
      <c r="P25">
        <f ca="1"/>
        <v>20066.666666666672</v>
      </c>
      <c r="Q25">
        <f t="shared" ca="1" si="0"/>
        <v>90.754159554197415</v>
      </c>
      <c r="R25">
        <f t="shared" ca="1" si="1"/>
        <v>1</v>
      </c>
      <c r="S25" s="156">
        <f t="shared" ca="1" si="3"/>
        <v>1.0009999999999999E-3</v>
      </c>
      <c r="U25" t="str">
        <f ca="1"/>
        <v>Extraction mécanique cuisine et salle de bain</v>
      </c>
      <c r="V25">
        <f ca="1"/>
        <v>7.2899999999999991</v>
      </c>
      <c r="W25">
        <f ca="1"/>
        <v>91.724022558020508</v>
      </c>
      <c r="X25" s="156">
        <f ca="1"/>
        <v>0</v>
      </c>
      <c r="AB25" t="str">
        <f ca="1"/>
        <v>Tôle d'acier, zinguée</v>
      </c>
      <c r="AC25">
        <f ca="1"/>
        <v>12.460064152890189</v>
      </c>
      <c r="AD25" t="str">
        <f ca="1"/>
        <v>kg</v>
      </c>
      <c r="AE25" t="str">
        <f ca="1"/>
        <v>06.011</v>
      </c>
    </row>
    <row r="26" spans="2:35">
      <c r="B26" s="1151" t="str" cm="1">
        <f t="array" aca="1" ref="B26" ca="1">IFERROR(INDEX(Décomposition!H29:H298,MATCH(0,COUNTIF($B$1:B25,Décomposition!H29:H298),0)),-1)</f>
        <v>Plaque de plâtre armé de fibres</v>
      </c>
      <c r="C26" s="158" cm="1">
        <f t="array" aca="1" ref="C26" ca="1">IFERROR(SUM((Décomposition!$H$4:$H$270='List of materials'!B26)*Décomposition!$T$4:$T$270),0)</f>
        <v>13.2384</v>
      </c>
      <c r="D26" s="1152" t="str">
        <f ca="1">_xlfn.XLOOKUP(B26, Décomposition!H:H, Décomposition!J:J, 0,0,1)</f>
        <v>kg</v>
      </c>
      <c r="E26" s="1152" t="str">
        <f ca="1">_xlfn.XLOOKUP(B26, Décomposition!H:H, Décomposition!I:I, 0,0,1)</f>
        <v>03.007</v>
      </c>
      <c r="F26" s="1153" cm="1">
        <f t="array" aca="1" ref="F26" ca="1">IFERROR(SUM((Décomposition!$H$4:$H$270='List of materials'!$B26)*Décomposition!$K$4:$K$270),0)</f>
        <v>1920</v>
      </c>
      <c r="G26" s="158" cm="1">
        <f t="array" aca="1" ref="G26" ca="1">IF($D26=$G$1, IFERROR(SUM((Décomposition!$H$4:$H$270='List of materials'!$B26)*Décomposition!$K$4:$K$270),0), 0)</f>
        <v>0</v>
      </c>
      <c r="H26" cm="1">
        <f t="array" aca="1" ref="H26" ca="1">IF($D26=$H$1, IFERROR(SUM((Décomposition!$H$4:$H$270='List of materials'!$B26)*Décomposition!$K$4:$K$270),0), 0)</f>
        <v>0</v>
      </c>
      <c r="I26">
        <f t="shared" ca="1" si="4"/>
        <v>1920</v>
      </c>
      <c r="J26">
        <f ca="1">_xlfn.XLOOKUP(B26,'Baumaterialien Matériaux'!AD:AD,'Baumaterialien Matériaux'!F:F)</f>
        <v>1200</v>
      </c>
      <c r="L26" s="254" t="str">
        <f ca="1"/>
        <v>Extraction mécanique cuisine et salle de bain</v>
      </c>
      <c r="M26">
        <f ca="1"/>
        <v>7.2899999999999991</v>
      </c>
      <c r="N26" t="str">
        <f ca="1"/>
        <v>m2</v>
      </c>
      <c r="O26" t="str">
        <f ca="1"/>
        <v>32.003</v>
      </c>
      <c r="P26">
        <f ca="1"/>
        <v>160</v>
      </c>
      <c r="Q26">
        <f t="shared" ca="1" si="0"/>
        <v>91.724022558020508</v>
      </c>
      <c r="R26">
        <f t="shared" ca="1" si="1"/>
        <v>0</v>
      </c>
      <c r="S26" s="156">
        <f t="shared" ca="1" si="3"/>
        <v>0</v>
      </c>
      <c r="U26" t="str">
        <f ca="1"/>
        <v>Distribution et émission de chaleur habitation</v>
      </c>
      <c r="V26">
        <f ca="1"/>
        <v>6.9300000000000015</v>
      </c>
      <c r="W26">
        <f ca="1"/>
        <v>92.645991092518997</v>
      </c>
      <c r="X26" s="156">
        <f ca="1"/>
        <v>0</v>
      </c>
      <c r="AB26" t="str">
        <f ca="1"/>
        <v>Tôle d'acier nickel-chrome 18/8, nue</v>
      </c>
      <c r="AC26">
        <f ca="1"/>
        <v>4.1505570842399999</v>
      </c>
      <c r="AD26" t="str">
        <f ca="1"/>
        <v>kg</v>
      </c>
      <c r="AE26" t="str">
        <f ca="1"/>
        <v>06.004</v>
      </c>
    </row>
    <row r="27" spans="2:35">
      <c r="B27" s="1151" t="str" cm="1">
        <f t="array" aca="1" ref="B27" ca="1">IFERROR(INDEX(Décomposition!H30:H299,MATCH(0,COUNTIF($B$1:B26,Décomposition!H30:H299),0)),-1)</f>
        <v>Polystyrène extrudé (XPS)</v>
      </c>
      <c r="C27" s="158" cm="1">
        <f t="array" aca="1" ref="C27" ca="1">IFERROR(SUM((Décomposition!$H$4:$H$270='List of materials'!B27)*Décomposition!$T$4:$T$270),0)</f>
        <v>1.7267999999999999</v>
      </c>
      <c r="D27" s="1152" t="str">
        <f ca="1">_xlfn.XLOOKUP(B27, Décomposition!H:H, Décomposition!J:J, 0,0,1)</f>
        <v>kg</v>
      </c>
      <c r="E27" s="1152" t="str">
        <f ca="1">_xlfn.XLOOKUP(B27, Décomposition!H:H, Décomposition!I:I, 0,0,1)</f>
        <v>10.005</v>
      </c>
      <c r="F27" s="1153" cm="1">
        <f t="array" aca="1" ref="F27" ca="1">IFERROR(SUM((Décomposition!$H$4:$H$270='List of materials'!$B27)*Décomposition!$K$4:$K$270),0)</f>
        <v>9.6</v>
      </c>
      <c r="G27" s="158" cm="1">
        <f t="array" aca="1" ref="G27" ca="1">IF($D27=$G$1, IFERROR(SUM((Décomposition!$H$4:$H$270='List of materials'!$B27)*Décomposition!$K$4:$K$270),0), 0)</f>
        <v>0</v>
      </c>
      <c r="H27" cm="1">
        <f t="array" aca="1" ref="H27" ca="1">IF($D27=$H$1, IFERROR(SUM((Décomposition!$H$4:$H$270='List of materials'!$B27)*Décomposition!$K$4:$K$270),0), 0)</f>
        <v>0</v>
      </c>
      <c r="I27">
        <f t="shared" ca="1" si="4"/>
        <v>9.6</v>
      </c>
      <c r="J27" t="str">
        <f ca="1">_xlfn.XLOOKUP(B27,'Baumaterialien Matériaux'!AD:AD,'Baumaterialien Matériaux'!F:F)</f>
        <v>30-35</v>
      </c>
      <c r="L27" s="254" t="str">
        <f ca="1"/>
        <v>Distribution et émission de chaleur habitation</v>
      </c>
      <c r="M27">
        <f ca="1"/>
        <v>6.9300000000000015</v>
      </c>
      <c r="N27" t="str">
        <f ca="1"/>
        <v>m2</v>
      </c>
      <c r="O27" t="str">
        <f ca="1"/>
        <v>31.021</v>
      </c>
      <c r="P27">
        <f ca="1"/>
        <v>160</v>
      </c>
      <c r="Q27">
        <f t="shared" ca="1" si="0"/>
        <v>92.645991092518997</v>
      </c>
      <c r="R27">
        <f t="shared" ca="1" si="1"/>
        <v>0</v>
      </c>
      <c r="S27" s="156">
        <f t="shared" ca="1" si="3"/>
        <v>0</v>
      </c>
      <c r="U27" t="str">
        <f ca="1"/>
        <v>Colle bicomposant</v>
      </c>
      <c r="V27">
        <f ca="1"/>
        <v>6.7717999999999998</v>
      </c>
      <c r="W27">
        <f ca="1"/>
        <v>93.546912668553176</v>
      </c>
      <c r="X27" s="156">
        <f ca="1"/>
        <v>8.0009999999999994E-3</v>
      </c>
      <c r="AB27" t="str">
        <f ca="1"/>
        <v>Acier d'armature</v>
      </c>
      <c r="AC27">
        <f ca="1"/>
        <v>47.97621075</v>
      </c>
      <c r="AD27" t="str">
        <f ca="1"/>
        <v>kg</v>
      </c>
      <c r="AE27" t="str">
        <f ca="1"/>
        <v>06.003</v>
      </c>
    </row>
    <row r="28" spans="2:35">
      <c r="B28" s="1151" t="str" cm="1">
        <f t="array" aca="1" ref="B28" ca="1">IFERROR(INDEX(Décomposition!H31:H300,MATCH(0,COUNTIF($B$1:B27,Décomposition!H31:H300),0)),-1)</f>
        <v>Porte intérieure, porte fonctionnelle, bois, cadre en bois</v>
      </c>
      <c r="C28" s="158" cm="1">
        <f t="array" aca="1" ref="C28" ca="1">IFERROR(SUM((Décomposition!$H$4:$H$270='List of materials'!B28)*Décomposition!$T$4:$T$270),0)</f>
        <v>0</v>
      </c>
      <c r="D28" s="1152" t="str">
        <f ca="1">_xlfn.XLOOKUP(B28, Décomposition!H:H, Décomposition!J:J, 0,0,1)</f>
        <v>m2</v>
      </c>
      <c r="E28" s="1152" t="str">
        <f ca="1">_xlfn.XLOOKUP(B28, Décomposition!H:H, Décomposition!I:I, 0,0,1)</f>
        <v>12.009</v>
      </c>
      <c r="F28" s="1153" cm="1">
        <f t="array" aca="1" ref="F28" ca="1">IFERROR(SUM((Décomposition!$H$4:$H$270='List of materials'!$B28)*Décomposition!$K$4:$K$270),0)</f>
        <v>0</v>
      </c>
      <c r="G28" s="158" cm="1">
        <f t="array" aca="1" ref="G28" ca="1">IF($D28=$G$1, IFERROR(SUM((Décomposition!$H$4:$H$270='List of materials'!$B28)*Décomposition!$K$4:$K$270),0), 0)</f>
        <v>0</v>
      </c>
      <c r="H28" cm="1">
        <f t="array" aca="1" ref="H28" ca="1">IF($D28=$H$1, IFERROR(SUM((Décomposition!$H$4:$H$270='List of materials'!$B28)*Décomposition!$K$4:$K$270),0), 0)</f>
        <v>0</v>
      </c>
      <c r="I28" t="e">
        <f t="shared" ca="1" si="4"/>
        <v>#VALUE!</v>
      </c>
      <c r="J28" t="str">
        <f ca="1">_xlfn.XLOOKUP(B28,'Baumaterialien Matériaux'!AD:AD,'Baumaterialien Matériaux'!F:F)</f>
        <v>-</v>
      </c>
      <c r="L28" s="254" t="str">
        <f ca="1"/>
        <v>Colle bicomposant</v>
      </c>
      <c r="M28">
        <f ca="1"/>
        <v>6.7717999999999998</v>
      </c>
      <c r="N28" t="str">
        <f ca="1"/>
        <v>kg</v>
      </c>
      <c r="O28" t="str">
        <f ca="1"/>
        <v>08.001</v>
      </c>
      <c r="P28">
        <f ca="1"/>
        <v>112</v>
      </c>
      <c r="Q28">
        <f t="shared" ca="1" si="0"/>
        <v>93.546912668553176</v>
      </c>
      <c r="R28">
        <f t="shared" ca="1" si="1"/>
        <v>1</v>
      </c>
      <c r="S28" s="156">
        <f t="shared" ca="1" si="3"/>
        <v>8.0009999999999994E-3</v>
      </c>
      <c r="U28" t="str">
        <f ca="1"/>
        <v>Plaque de plâtre cartonnée</v>
      </c>
      <c r="V28">
        <f ca="1"/>
        <v>6.4111249999999993</v>
      </c>
      <c r="W28">
        <f ca="1"/>
        <v>94.399849973132774</v>
      </c>
      <c r="X28" s="156">
        <f ca="1"/>
        <v>3.0079999999999998E-3</v>
      </c>
      <c r="AB28" t="str">
        <f ca="1"/>
        <v>Protection solaire, stores vénitiens avec moteur 4</v>
      </c>
      <c r="AC28">
        <f ca="1"/>
        <v>28.785599999999999</v>
      </c>
      <c r="AD28" t="str">
        <f ca="1"/>
        <v>m2</v>
      </c>
      <c r="AE28" t="str">
        <f ca="1"/>
        <v>05.017</v>
      </c>
    </row>
    <row r="29" spans="2:35">
      <c r="B29" s="1151" t="str" cm="1">
        <f t="array" aca="1" ref="B29" ca="1">IFERROR(INDEX(Décomposition!H32:H301,MATCH(0,COUNTIF($B$1:B28,Décomposition!H32:H301),0)),-1)</f>
        <v>Parquet, 2 plis, vitrifié d'usine, 11 mm</v>
      </c>
      <c r="C29" s="158" cm="1">
        <f t="array" aca="1" ref="C29" ca="1">IFERROR(SUM((Décomposition!$H$4:$H$270='List of materials'!B29)*Décomposition!$T$4:$T$270),0)</f>
        <v>10.9298</v>
      </c>
      <c r="D29" s="1152" t="str">
        <f ca="1">_xlfn.XLOOKUP(B29, Décomposition!H:H, Décomposition!J:J, 0,0,1)</f>
        <v>m2</v>
      </c>
      <c r="E29" s="1152" t="str">
        <f ca="1">_xlfn.XLOOKUP(B29, Décomposition!H:H, Décomposition!I:I, 0,0,1)</f>
        <v>11.018</v>
      </c>
      <c r="F29" s="1153" cm="1">
        <f t="array" aca="1" ref="F29" ca="1">IFERROR(SUM((Décomposition!$H$4:$H$270='List of materials'!$B29)*Décomposition!$K$4:$K$270),0)</f>
        <v>112</v>
      </c>
      <c r="G29" s="158" cm="1">
        <f t="array" aca="1" ref="G29" ca="1">IF($D29=$G$1, IFERROR(SUM((Décomposition!$H$4:$H$270='List of materials'!$B29)*Décomposition!$K$4:$K$270),0), 0)</f>
        <v>112</v>
      </c>
      <c r="H29" cm="1">
        <f t="array" aca="1" ref="H29" ca="1">IF($D29=$H$1, IFERROR(SUM((Décomposition!$H$4:$H$270='List of materials'!$B29)*Décomposition!$K$4:$K$270),0), 0)</f>
        <v>0</v>
      </c>
      <c r="I29">
        <f t="shared" ca="1" si="4"/>
        <v>112</v>
      </c>
      <c r="J29">
        <f ca="1">_xlfn.XLOOKUP(B29,'Baumaterialien Matériaux'!AD:AD,'Baumaterialien Matériaux'!F:F)</f>
        <v>6.1</v>
      </c>
      <c r="L29" s="254" t="str">
        <f ca="1"/>
        <v>Plaque de plâtre cartonnée</v>
      </c>
      <c r="M29">
        <f ca="1"/>
        <v>6.4111249999999993</v>
      </c>
      <c r="N29" t="str">
        <f ca="1"/>
        <v>kg</v>
      </c>
      <c r="O29" t="str">
        <f ca="1"/>
        <v>03.008</v>
      </c>
      <c r="P29">
        <f ca="1"/>
        <v>1700</v>
      </c>
      <c r="Q29">
        <f t="shared" ca="1" si="0"/>
        <v>94.399849973132774</v>
      </c>
      <c r="R29">
        <f t="shared" ca="1" si="1"/>
        <v>1</v>
      </c>
      <c r="S29" s="156">
        <f t="shared" ca="1" si="3"/>
        <v>3.0079999999999998E-3</v>
      </c>
      <c r="U29" t="str">
        <f ca="1"/>
        <v xml:space="preserve">Polyamide (PA) renforcé par des fibres de verre </v>
      </c>
      <c r="V29">
        <f ca="1"/>
        <v>6.3991916800000004</v>
      </c>
      <c r="W29">
        <f ca="1"/>
        <v>95.2511996665216</v>
      </c>
      <c r="X29" s="156">
        <f ca="1"/>
        <v>1.5002000000000001E-2</v>
      </c>
      <c r="AB29" t="str">
        <f ca="1"/>
        <v>Triple vitrage, U&lt;0.6 W/m2K, épaisseur 40 mm 3</v>
      </c>
      <c r="AC29">
        <f ca="1"/>
        <v>25.384319999999995</v>
      </c>
      <c r="AD29" t="str">
        <f ca="1"/>
        <v>m2</v>
      </c>
      <c r="AE29" t="str">
        <f ca="1"/>
        <v>05.012</v>
      </c>
    </row>
    <row r="30" spans="2:35">
      <c r="B30" s="1151" t="str" cm="1">
        <f t="array" aca="1" ref="B30" ca="1">IFERROR(INDEX(Décomposition!H33:H302,MATCH(0,COUNTIF($B$1:B29,Décomposition!H33:H302),0)),-1)</f>
        <v>Colle bicomposant</v>
      </c>
      <c r="C30" s="158" cm="1">
        <f t="array" aca="1" ref="C30" ca="1">IFERROR(SUM((Décomposition!$H$4:$H$270='List of materials'!B30)*Décomposition!$T$4:$T$270),0)</f>
        <v>6.7717999999999998</v>
      </c>
      <c r="D30" s="1152" t="str">
        <f ca="1">_xlfn.XLOOKUP(B30, Décomposition!H:H, Décomposition!J:J, 0,0,1)</f>
        <v>kg</v>
      </c>
      <c r="E30" s="1152" t="str">
        <f ca="1">_xlfn.XLOOKUP(B30, Décomposition!H:H, Décomposition!I:I, 0,0,1)</f>
        <v>08.001</v>
      </c>
      <c r="F30" s="1153" cm="1">
        <f t="array" aca="1" ref="F30" ca="1">IFERROR(SUM((Décomposition!$H$4:$H$270='List of materials'!$B30)*Décomposition!$K$4:$K$270),0)</f>
        <v>112</v>
      </c>
      <c r="G30" s="158" cm="1">
        <f t="array" aca="1" ref="G30" ca="1">IF($D30=$G$1, IFERROR(SUM((Décomposition!$H$4:$H$270='List of materials'!$B30)*Décomposition!$K$4:$K$270),0), 0)</f>
        <v>0</v>
      </c>
      <c r="H30" cm="1">
        <f t="array" aca="1" ref="H30" ca="1">IF($D30=$H$1, IFERROR(SUM((Décomposition!$H$4:$H$270='List of materials'!$B30)*Décomposition!$K$4:$K$270),0), 0)</f>
        <v>0</v>
      </c>
      <c r="I30">
        <f t="shared" ca="1" si="4"/>
        <v>112</v>
      </c>
      <c r="J30">
        <f ca="1">_xlfn.XLOOKUP(B30,'Baumaterialien Matériaux'!AD:AD,'Baumaterialien Matériaux'!F:F)</f>
        <v>1500</v>
      </c>
      <c r="L30" s="254" t="str">
        <f ca="1"/>
        <v xml:space="preserve">Polyamide (PA) renforcé par des fibres de verre </v>
      </c>
      <c r="M30">
        <f ca="1"/>
        <v>6.3991916800000004</v>
      </c>
      <c r="N30" t="str">
        <f ca="1"/>
        <v>kg</v>
      </c>
      <c r="O30" t="str">
        <f ca="1"/>
        <v>15.002</v>
      </c>
      <c r="P30">
        <f ca="1"/>
        <v>44.477440000000001</v>
      </c>
      <c r="Q30">
        <f t="shared" ca="1" si="0"/>
        <v>95.2511996665216</v>
      </c>
      <c r="R30">
        <f t="shared" ca="1" si="1"/>
        <v>1</v>
      </c>
      <c r="S30" s="156">
        <f t="shared" ca="1" si="3"/>
        <v>1.5002000000000001E-2</v>
      </c>
      <c r="U30" t="str">
        <f ca="1"/>
        <v>Voile de polyéthylène (PE)</v>
      </c>
      <c r="V30">
        <f ca="1"/>
        <v>5.9681269643505264</v>
      </c>
      <c r="W30">
        <f ca="1"/>
        <v>96.045200427131007</v>
      </c>
      <c r="X30" s="156">
        <f ca="1"/>
        <v>9.0079999999999986E-3</v>
      </c>
      <c r="AB30" t="str">
        <f ca="1"/>
        <v>Cadre de fenêtre en bois</v>
      </c>
      <c r="AC30">
        <f ca="1"/>
        <v>17.371200000000002</v>
      </c>
      <c r="AD30" t="str">
        <f ca="1"/>
        <v>m2</v>
      </c>
      <c r="AE30" t="str">
        <f ca="1"/>
        <v>05.005</v>
      </c>
    </row>
    <row r="31" spans="2:35">
      <c r="B31" s="1151" t="str" cm="1">
        <f t="array" aca="1" ref="B31" ca="1">IFERROR(INDEX(Décomposition!H34:H303,MATCH(0,COUNTIF($B$1:B30,Décomposition!H34:H303),0)),-1)</f>
        <v>Dalle en céramique/grès, 9 mm</v>
      </c>
      <c r="C31" s="158" cm="1">
        <f t="array" aca="1" ref="C31" ca="1">IFERROR(SUM((Décomposition!$H$4:$H$270='List of materials'!B31)*Décomposition!$T$4:$T$270),0)</f>
        <v>10.866000000000003</v>
      </c>
      <c r="D31" s="1152" t="str">
        <f ca="1">_xlfn.XLOOKUP(B31, Décomposition!H:H, Décomposition!J:J, 0,0,1)</f>
        <v>m2</v>
      </c>
      <c r="E31" s="1152" t="str">
        <f ca="1">_xlfn.XLOOKUP(B31, Décomposition!H:H, Décomposition!I:I, 0,0,1)</f>
        <v>11.008</v>
      </c>
      <c r="F31" s="1153" cm="1">
        <f t="array" aca="1" ref="F31" ca="1">IFERROR(SUM((Décomposition!$H$4:$H$270='List of materials'!$B31)*Décomposition!$K$4:$K$270),0)</f>
        <v>48</v>
      </c>
      <c r="G31" s="158" cm="1">
        <f t="array" aca="1" ref="G31" ca="1">IF($D31=$G$1, IFERROR(SUM((Décomposition!$H$4:$H$270='List of materials'!$B31)*Décomposition!$K$4:$K$270),0), 0)</f>
        <v>48</v>
      </c>
      <c r="H31" cm="1">
        <f t="array" aca="1" ref="H31" ca="1">IF($D31=$H$1, IFERROR(SUM((Décomposition!$H$4:$H$270='List of materials'!$B31)*Décomposition!$K$4:$K$270),0), 0)</f>
        <v>0</v>
      </c>
      <c r="I31">
        <f t="shared" ca="1" si="4"/>
        <v>48</v>
      </c>
      <c r="J31">
        <f ca="1">_xlfn.XLOOKUP(B31,'Baumaterialien Matériaux'!AD:AD,'Baumaterialien Matériaux'!F:F)</f>
        <v>18</v>
      </c>
      <c r="L31" s="254" t="str">
        <f ca="1"/>
        <v>Voile de polyéthylène (PE)</v>
      </c>
      <c r="M31">
        <f ca="1"/>
        <v>5.9681269643505264</v>
      </c>
      <c r="N31" t="str">
        <f ca="1"/>
        <v>kg</v>
      </c>
      <c r="O31" t="str">
        <f ca="1"/>
        <v>09.008</v>
      </c>
      <c r="P31">
        <f ca="1"/>
        <v>84.804646029847618</v>
      </c>
      <c r="Q31">
        <f t="shared" ca="1" si="0"/>
        <v>96.045200427131007</v>
      </c>
      <c r="R31">
        <f t="shared" ca="1" si="1"/>
        <v>1</v>
      </c>
      <c r="S31" s="156">
        <f t="shared" ca="1" si="3"/>
        <v>9.0079999999999986E-3</v>
      </c>
      <c r="U31" t="str">
        <f ca="1"/>
        <v>Enduit minéral</v>
      </c>
      <c r="V31">
        <f ca="1"/>
        <v>5.9259007500000012</v>
      </c>
      <c r="W31">
        <f ca="1"/>
        <v>96.833583404051794</v>
      </c>
      <c r="X31" s="156">
        <f ca="1"/>
        <v>4.0010000000000002E-3</v>
      </c>
      <c r="AB31" t="str">
        <f ca="1"/>
        <v>Enduit en plâtre et chaux</v>
      </c>
      <c r="AC31">
        <f ca="1"/>
        <v>1.7662400000000003</v>
      </c>
      <c r="AD31" t="str">
        <f ca="1"/>
        <v>kg</v>
      </c>
      <c r="AE31" t="str">
        <f ca="1"/>
        <v>04.017</v>
      </c>
    </row>
    <row r="32" spans="2:35">
      <c r="B32" s="1151" t="str" cm="1">
        <f t="array" aca="1" ref="B32" ca="1">IFERROR(INDEX(Décomposition!H35:H304,MATCH(0,COUNTIF($B$1:B31,Décomposition!H35:H304),0)),-1)</f>
        <v xml:space="preserve">Colle de construction/mortier d'enrobage minéral(e) </v>
      </c>
      <c r="C32" s="158" cm="1">
        <f t="array" aca="1" ref="C32" ca="1">IFERROR(SUM((Décomposition!$H$4:$H$270='List of materials'!B32)*Décomposition!$T$4:$T$270),0)</f>
        <v>3.1644600000000001</v>
      </c>
      <c r="D32" s="1152" t="str">
        <f ca="1">_xlfn.XLOOKUP(B32, Décomposition!H:H, Décomposition!J:J, 0,0,1)</f>
        <v>kg</v>
      </c>
      <c r="E32" s="1152" t="str">
        <f ca="1">_xlfn.XLOOKUP(B32, Décomposition!H:H, Décomposition!I:I, 0,0,1)</f>
        <v>04.008</v>
      </c>
      <c r="F32" s="1153" cm="1">
        <f t="array" aca="1" ref="F32" ca="1">IFERROR(SUM((Décomposition!$H$4:$H$270='List of materials'!$B32)*Décomposition!$K$4:$K$270),0)</f>
        <v>624</v>
      </c>
      <c r="G32" s="158" cm="1">
        <f t="array" aca="1" ref="G32" ca="1">IF($D32=$G$1, IFERROR(SUM((Décomposition!$H$4:$H$270='List of materials'!$B32)*Décomposition!$K$4:$K$270),0), 0)</f>
        <v>0</v>
      </c>
      <c r="H32" cm="1">
        <f t="array" aca="1" ref="H32" ca="1">IF($D32=$H$1, IFERROR(SUM((Décomposition!$H$4:$H$270='List of materials'!$B32)*Décomposition!$K$4:$K$270),0), 0)</f>
        <v>0</v>
      </c>
      <c r="I32">
        <f t="shared" ca="1" si="4"/>
        <v>624</v>
      </c>
      <c r="J32">
        <f ca="1">_xlfn.XLOOKUP(B32,'Baumaterialien Matériaux'!AD:AD,'Baumaterialien Matériaux'!F:F)</f>
        <v>1400</v>
      </c>
      <c r="L32" s="254" t="str">
        <f ca="1"/>
        <v>Enduit minéral</v>
      </c>
      <c r="M32">
        <f ca="1"/>
        <v>5.9259007500000012</v>
      </c>
      <c r="N32" t="str">
        <f ca="1"/>
        <v>kg</v>
      </c>
      <c r="O32" t="str">
        <f ca="1"/>
        <v>04.001</v>
      </c>
      <c r="P32">
        <f ca="1"/>
        <v>3145.8</v>
      </c>
      <c r="Q32">
        <f t="shared" ca="1" si="0"/>
        <v>96.833583404051794</v>
      </c>
      <c r="R32">
        <f t="shared" ca="1" si="1"/>
        <v>1</v>
      </c>
      <c r="S32" s="156">
        <f t="shared" ca="1" si="3"/>
        <v>4.0010000000000002E-3</v>
      </c>
      <c r="U32" t="str">
        <f ca="1"/>
        <v>Portes extérieures aluminium, avec vitrage</v>
      </c>
      <c r="V32">
        <f ca="1"/>
        <v>5.6647499999999997</v>
      </c>
      <c r="W32">
        <f ca="1"/>
        <v>97.587222834903216</v>
      </c>
      <c r="X32" s="156">
        <f ca="1"/>
        <v>0</v>
      </c>
      <c r="AB32" t="str">
        <f ca="1"/>
        <v>Enduit en plâtre et en ciment</v>
      </c>
      <c r="AC32">
        <f ca="1"/>
        <v>53.328051000000002</v>
      </c>
      <c r="AD32" t="str">
        <f ca="1"/>
        <v>kg</v>
      </c>
      <c r="AE32" t="str">
        <f ca="1"/>
        <v>04.013</v>
      </c>
    </row>
    <row r="33" spans="2:31">
      <c r="B33" s="1151" t="str" cm="1">
        <f t="array" aca="1" ref="B33" ca="1">IFERROR(INDEX(Décomposition!H36:H305,MATCH(0,COUNTIF($B$1:B32,Décomposition!H36:H305),0)),-1)</f>
        <v>Chape de ciment, 85 mm</v>
      </c>
      <c r="C33" s="158" cm="1">
        <f t="array" aca="1" ref="C33" ca="1">IFERROR(SUM((Décomposition!$H$4:$H$270='List of materials'!B33)*Décomposition!$T$4:$T$270),0)</f>
        <v>31.002299999999998</v>
      </c>
      <c r="D33" s="1152" t="str">
        <f ca="1">_xlfn.XLOOKUP(B33, Décomposition!H:H, Décomposition!J:J, 0,0,1)</f>
        <v>kg</v>
      </c>
      <c r="E33" s="1152" t="str">
        <f ca="1">_xlfn.XLOOKUP(B33, Décomposition!H:H, Décomposition!I:I, 0,0,1)</f>
        <v>04.006</v>
      </c>
      <c r="F33" s="1153" cm="1">
        <f t="array" aca="1" ref="F33" ca="1">IFERROR(SUM((Décomposition!$H$4:$H$270='List of materials'!$B33)*Décomposition!$K$4:$K$270),0)</f>
        <v>20720</v>
      </c>
      <c r="G33" s="158" cm="1">
        <f t="array" aca="1" ref="G33" ca="1">IF($D33=$G$1, IFERROR(SUM((Décomposition!$H$4:$H$270='List of materials'!$B33)*Décomposition!$K$4:$K$270),0), 0)</f>
        <v>0</v>
      </c>
      <c r="H33" cm="1">
        <f t="array" aca="1" ref="H33" ca="1">IF($D33=$H$1, IFERROR(SUM((Décomposition!$H$4:$H$270='List of materials'!$B33)*Décomposition!$K$4:$K$270),0), 0)</f>
        <v>0</v>
      </c>
      <c r="I33">
        <f t="shared" ca="1" si="4"/>
        <v>20720</v>
      </c>
      <c r="J33">
        <f ca="1">_xlfn.XLOOKUP(B33,'Baumaterialien Matériaux'!AD:AD,'Baumaterialien Matériaux'!F:F)</f>
        <v>1850</v>
      </c>
      <c r="L33" s="254" t="str">
        <f ca="1"/>
        <v>Portes extérieures aluminium, avec vitrage</v>
      </c>
      <c r="M33">
        <f ca="1"/>
        <v>5.6647499999999997</v>
      </c>
      <c r="N33" t="str">
        <f ca="1"/>
        <v>m2</v>
      </c>
      <c r="O33" t="str">
        <f ca="1"/>
        <v>12.005</v>
      </c>
      <c r="P33">
        <f ca="1"/>
        <v>2.1</v>
      </c>
      <c r="Q33">
        <f t="shared" ca="1" si="0"/>
        <v>97.587222834903216</v>
      </c>
      <c r="R33">
        <f t="shared" ca="1" si="1"/>
        <v>0</v>
      </c>
      <c r="S33" s="156">
        <f t="shared" ca="1" si="3"/>
        <v>0</v>
      </c>
      <c r="U33" t="str">
        <f ca="1"/>
        <v>Capteurs solaires</v>
      </c>
      <c r="V33">
        <f ca="1"/>
        <v>4.2</v>
      </c>
      <c r="W33">
        <f ca="1"/>
        <v>98.145991643690181</v>
      </c>
      <c r="X33" s="156">
        <f ca="1"/>
        <v>0</v>
      </c>
      <c r="AB33" t="str">
        <f ca="1"/>
        <v xml:space="preserve">Colle de construction/mortier d'enrobage minéral(e) </v>
      </c>
      <c r="AC33">
        <f ca="1"/>
        <v>3.1644600000000001</v>
      </c>
      <c r="AD33" t="str">
        <f ca="1"/>
        <v>kg</v>
      </c>
      <c r="AE33" t="str">
        <f ca="1"/>
        <v>04.008</v>
      </c>
    </row>
    <row r="34" spans="2:31">
      <c r="B34" s="1151" t="str" cm="1">
        <f t="array" aca="1" ref="B34" ca="1">IFERROR(INDEX(Décomposition!H37:H306,MATCH(0,COUNTIF($B$1:B33,Décomposition!H37:H306),0)),-1)</f>
        <v>Enduit en plâtre et en ciment</v>
      </c>
      <c r="C34" s="158" cm="1">
        <f t="array" aca="1" ref="C34" ca="1">IFERROR(SUM((Décomposition!$H$4:$H$270='List of materials'!B34)*Décomposition!$T$4:$T$270),0)</f>
        <v>53.328051000000002</v>
      </c>
      <c r="D34" s="1152" t="str">
        <f ca="1">_xlfn.XLOOKUP(B34, Décomposition!H:H, Décomposition!J:J, 0,0,1)</f>
        <v>kg</v>
      </c>
      <c r="E34" s="1152" t="str">
        <f ca="1">_xlfn.XLOOKUP(B34, Décomposition!H:H, Décomposition!I:I, 0,0,1)</f>
        <v>04.013</v>
      </c>
      <c r="F34" s="1153" cm="1">
        <f t="array" aca="1" ref="F34" ca="1">IFERROR(SUM((Décomposition!$H$4:$H$270='List of materials'!$B34)*Décomposition!$K$4:$K$270),0)</f>
        <v>16178.400000000001</v>
      </c>
      <c r="G34" s="158" cm="1">
        <f t="array" aca="1" ref="G34" ca="1">IF($D34=$G$1, IFERROR(SUM((Décomposition!$H$4:$H$270='List of materials'!$B34)*Décomposition!$K$4:$K$270),0), 0)</f>
        <v>0</v>
      </c>
      <c r="H34" cm="1">
        <f t="array" aca="1" ref="H34" ca="1">IF($D34=$H$1, IFERROR(SUM((Décomposition!$H$4:$H$270='List of materials'!$B34)*Décomposition!$K$4:$K$270),0), 0)</f>
        <v>0</v>
      </c>
      <c r="I34">
        <f t="shared" ca="1" si="4"/>
        <v>16178.400000000001</v>
      </c>
      <c r="J34">
        <f ca="1">_xlfn.XLOOKUP(B34,'Baumaterialien Matériaux'!AD:AD,'Baumaterialien Matériaux'!F:F)</f>
        <v>1550</v>
      </c>
      <c r="L34" s="254" t="str">
        <f ca="1"/>
        <v>Capteurs solaires</v>
      </c>
      <c r="M34">
        <f ca="1"/>
        <v>4.2</v>
      </c>
      <c r="N34" t="str">
        <f ca="1"/>
        <v>m2</v>
      </c>
      <c r="O34" t="str">
        <f ca="1"/>
        <v>31.009</v>
      </c>
      <c r="P34">
        <f ca="1"/>
        <v>2</v>
      </c>
      <c r="Q34">
        <f t="shared" ca="1" si="0"/>
        <v>98.145991643690181</v>
      </c>
      <c r="R34">
        <f t="shared" ca="1" si="1"/>
        <v>0</v>
      </c>
      <c r="S34" s="156">
        <f t="shared" ca="1" si="3"/>
        <v>0</v>
      </c>
      <c r="U34" t="str">
        <f ca="1"/>
        <v>Tôle d'acier nickel-chrome 18/8, nue</v>
      </c>
      <c r="V34">
        <f ca="1"/>
        <v>4.1505570842399999</v>
      </c>
      <c r="W34">
        <f ca="1"/>
        <v>98.698182557443303</v>
      </c>
      <c r="X34" s="156">
        <f ca="1"/>
        <v>6.0039999999999998E-3</v>
      </c>
      <c r="AB34" t="str">
        <f ca="1"/>
        <v>Chape de ciment, 85 mm</v>
      </c>
      <c r="AC34">
        <f ca="1"/>
        <v>31.002299999999998</v>
      </c>
      <c r="AD34" t="str">
        <f ca="1"/>
        <v>kg</v>
      </c>
      <c r="AE34" t="str">
        <f ca="1"/>
        <v>04.006</v>
      </c>
    </row>
    <row r="35" spans="2:31">
      <c r="B35" s="1151" t="str" cm="1">
        <f t="array" aca="1" ref="B35" ca="1">IFERROR(INDEX(Décomposition!H38:H307,MATCH(0,COUNTIF($B$1:B34,Décomposition!H38:H307),0)),-1)</f>
        <v>Enduit minéral</v>
      </c>
      <c r="C35" s="158" cm="1">
        <f t="array" aca="1" ref="C35" ca="1">IFERROR(SUM((Décomposition!$H$4:$H$270='List of materials'!B35)*Décomposition!$T$4:$T$270),0)</f>
        <v>5.9259007500000012</v>
      </c>
      <c r="D35" s="1152" t="str">
        <f ca="1">_xlfn.XLOOKUP(B35, Décomposition!H:H, Décomposition!J:J, 0,0,1)</f>
        <v>kg</v>
      </c>
      <c r="E35" s="1152" t="str">
        <f ca="1">_xlfn.XLOOKUP(B35, Décomposition!H:H, Décomposition!I:I, 0,0,1)</f>
        <v>04.001</v>
      </c>
      <c r="F35" s="1153" cm="1">
        <f t="array" aca="1" ref="F35" ca="1">IFERROR(SUM((Décomposition!$H$4:$H$270='List of materials'!$B35)*Décomposition!$K$4:$K$270),0)</f>
        <v>3145.8</v>
      </c>
      <c r="G35" s="158" cm="1">
        <f t="array" aca="1" ref="G35" ca="1">IF($D35=$G$1, IFERROR(SUM((Décomposition!$H$4:$H$270='List of materials'!$B35)*Décomposition!$K$4:$K$270),0), 0)</f>
        <v>0</v>
      </c>
      <c r="H35" cm="1">
        <f t="array" aca="1" ref="H35" ca="1">IF($D35=$H$1, IFERROR(SUM((Décomposition!$H$4:$H$270='List of materials'!$B35)*Décomposition!$K$4:$K$270),0), 0)</f>
        <v>0</v>
      </c>
      <c r="I35">
        <f t="shared" ca="1" si="4"/>
        <v>3145.8</v>
      </c>
      <c r="J35">
        <f ca="1">_xlfn.XLOOKUP(B35,'Baumaterialien Matériaux'!AD:AD,'Baumaterialien Matériaux'!F:F)</f>
        <v>1100</v>
      </c>
      <c r="L35" s="254" t="str">
        <f ca="1"/>
        <v>Tôle d'acier nickel-chrome 18/8, nue</v>
      </c>
      <c r="M35">
        <f ca="1"/>
        <v>4.1505570842399999</v>
      </c>
      <c r="N35" t="str">
        <f ca="1"/>
        <v>kg</v>
      </c>
      <c r="O35" t="str">
        <f ca="1"/>
        <v>06.004</v>
      </c>
      <c r="P35">
        <f ca="1"/>
        <v>80.653439999999989</v>
      </c>
      <c r="Q35">
        <f t="shared" ca="1" si="0"/>
        <v>98.698182557443303</v>
      </c>
      <c r="R35">
        <f t="shared" ca="1" si="1"/>
        <v>1</v>
      </c>
      <c r="S35" s="156">
        <f t="shared" ca="1" si="3"/>
        <v>6.0039999999999998E-3</v>
      </c>
      <c r="U35" t="str">
        <f ca="1"/>
        <v xml:space="preserve">Colle de construction/mortier d'enrobage minéral(e) </v>
      </c>
      <c r="V35">
        <f ca="1"/>
        <v>3.1644600000000001</v>
      </c>
      <c r="W35">
        <f ca="1"/>
        <v>99.11918292521807</v>
      </c>
      <c r="X35" s="156">
        <f ca="1"/>
        <v>4.0080000000000003E-3</v>
      </c>
      <c r="AB35" t="str">
        <f ca="1"/>
        <v>Enduit minéral</v>
      </c>
      <c r="AC35">
        <f ca="1"/>
        <v>5.9259007500000012</v>
      </c>
      <c r="AD35" t="str">
        <f ca="1"/>
        <v>kg</v>
      </c>
      <c r="AE35" t="str">
        <f ca="1"/>
        <v>04.001</v>
      </c>
    </row>
    <row r="36" spans="2:31">
      <c r="B36" s="1151" t="str" cm="1">
        <f t="array" aca="1" ref="B36" ca="1">IFERROR(INDEX(Décomposition!H39:H308,MATCH(0,COUNTIF($B$1:B35,Décomposition!H39:H308),0)),-1)</f>
        <v>Plaque de plâtre cartonnée</v>
      </c>
      <c r="C36" s="158" cm="1">
        <f t="array" aca="1" ref="C36" ca="1">IFERROR(SUM((Décomposition!$H$4:$H$270='List of materials'!B36)*Décomposition!$T$4:$T$270),0)</f>
        <v>6.4111249999999993</v>
      </c>
      <c r="D36" s="1152" t="str">
        <f ca="1">_xlfn.XLOOKUP(B36, Décomposition!H:H, Décomposition!J:J, 0,0,1)</f>
        <v>kg</v>
      </c>
      <c r="E36" s="1152" t="str">
        <f ca="1">_xlfn.XLOOKUP(B36, Décomposition!H:H, Décomposition!I:I, 0,0,1)</f>
        <v>03.008</v>
      </c>
      <c r="F36" s="1153" cm="1">
        <f t="array" aca="1" ref="F36" ca="1">IFERROR(SUM((Décomposition!$H$4:$H$270='List of materials'!$B36)*Décomposition!$K$4:$K$270),0)</f>
        <v>1700</v>
      </c>
      <c r="G36" s="158" cm="1">
        <f t="array" aca="1" ref="G36" ca="1">IF($D36=$G$1, IFERROR(SUM((Décomposition!$H$4:$H$270='List of materials'!$B36)*Décomposition!$K$4:$K$270),0), 0)</f>
        <v>0</v>
      </c>
      <c r="H36" cm="1">
        <f t="array" aca="1" ref="H36" ca="1">IF($D36=$H$1, IFERROR(SUM((Décomposition!$H$4:$H$270='List of materials'!$B36)*Décomposition!$K$4:$K$270),0), 0)</f>
        <v>0</v>
      </c>
      <c r="I36">
        <f t="shared" ca="1" si="4"/>
        <v>1700</v>
      </c>
      <c r="J36">
        <f ca="1">_xlfn.XLOOKUP(B36,'Baumaterialien Matériaux'!AD:AD,'Baumaterialien Matériaux'!F:F)</f>
        <v>850</v>
      </c>
      <c r="L36" s="254" t="str">
        <f ca="1"/>
        <v xml:space="preserve">Colle de construction/mortier d'enrobage minéral(e) </v>
      </c>
      <c r="M36">
        <f ca="1"/>
        <v>3.1644600000000001</v>
      </c>
      <c r="N36" t="str">
        <f ca="1"/>
        <v>kg</v>
      </c>
      <c r="O36" t="str">
        <f ca="1"/>
        <v>04.008</v>
      </c>
      <c r="P36">
        <f ca="1"/>
        <v>624</v>
      </c>
      <c r="Q36">
        <f t="shared" ca="1" si="0"/>
        <v>99.11918292521807</v>
      </c>
      <c r="R36">
        <f t="shared" ca="1" si="1"/>
        <v>1</v>
      </c>
      <c r="S36" s="156">
        <f t="shared" ca="1" si="3"/>
        <v>4.0080000000000003E-3</v>
      </c>
      <c r="U36" t="str">
        <f ca="1"/>
        <v>Enduit en plâtre et chaux</v>
      </c>
      <c r="V36">
        <f ca="1"/>
        <v>1.7662400000000003</v>
      </c>
      <c r="W36">
        <f ca="1"/>
        <v>99.354163834939953</v>
      </c>
      <c r="X36" s="156">
        <f ca="1"/>
        <v>4.0170000000000006E-3</v>
      </c>
      <c r="AB36" t="str">
        <f ca="1"/>
        <v>Tuile en terre cuite</v>
      </c>
      <c r="AC36">
        <f ca="1"/>
        <v>22.268399882643862</v>
      </c>
      <c r="AD36" t="str">
        <f ca="1"/>
        <v>kg</v>
      </c>
      <c r="AE36" t="str">
        <f ca="1"/>
        <v>03.015</v>
      </c>
    </row>
    <row r="37" spans="2:31">
      <c r="B37" s="1151" t="str" cm="1">
        <f t="array" aca="1" ref="B37" ca="1">IFERROR(INDEX(Décomposition!H40:H309,MATCH(0,COUNTIF($B$1:B36,Décomposition!H40:H309),0)),-1)</f>
        <v>Enduit en plâtre et chaux</v>
      </c>
      <c r="C37" s="158" cm="1">
        <f t="array" aca="1" ref="C37" ca="1">IFERROR(SUM((Décomposition!$H$4:$H$270='List of materials'!B37)*Décomposition!$T$4:$T$270),0)</f>
        <v>1.7662400000000003</v>
      </c>
      <c r="D37" s="1152" t="str">
        <f ca="1">_xlfn.XLOOKUP(B37, Décomposition!H:H, Décomposition!J:J, 0,0,1)</f>
        <v>kg</v>
      </c>
      <c r="E37" s="1152" t="str">
        <f ca="1">_xlfn.XLOOKUP(B37, Décomposition!H:H, Décomposition!I:I, 0,0,1)</f>
        <v>04.017</v>
      </c>
      <c r="F37" s="1153" cm="1">
        <f t="array" aca="1" ref="F37" ca="1">IFERROR(SUM((Décomposition!$H$4:$H$270='List of materials'!$B37)*Décomposition!$K$4:$K$270),0)</f>
        <v>896.00000000000011</v>
      </c>
      <c r="G37" s="158" cm="1">
        <f t="array" aca="1" ref="G37" ca="1">IF($D37=$G$1, IFERROR(SUM((Décomposition!$H$4:$H$270='List of materials'!$B37)*Décomposition!$K$4:$K$270),0), 0)</f>
        <v>0</v>
      </c>
      <c r="H37" cm="1">
        <f t="array" aca="1" ref="H37" ca="1">IF($D37=$H$1, IFERROR(SUM((Décomposition!$H$4:$H$270='List of materials'!$B37)*Décomposition!$K$4:$K$270),0), 0)</f>
        <v>0</v>
      </c>
      <c r="I37">
        <f t="shared" ca="1" si="4"/>
        <v>896.00000000000011</v>
      </c>
      <c r="J37">
        <f ca="1">_xlfn.XLOOKUP(B37,'Baumaterialien Matériaux'!AD:AD,'Baumaterialien Matériaux'!F:F)</f>
        <v>925</v>
      </c>
      <c r="L37" s="254" t="str">
        <f ca="1"/>
        <v>Enduit en plâtre et chaux</v>
      </c>
      <c r="M37">
        <f ca="1"/>
        <v>1.7662400000000003</v>
      </c>
      <c r="N37" t="str">
        <f ca="1"/>
        <v>kg</v>
      </c>
      <c r="O37" t="str">
        <f ca="1"/>
        <v>04.017</v>
      </c>
      <c r="P37">
        <f ca="1"/>
        <v>896.00000000000011</v>
      </c>
      <c r="Q37">
        <f t="shared" ca="1" si="0"/>
        <v>99.354163834939953</v>
      </c>
      <c r="R37">
        <f t="shared" ca="1" si="1"/>
        <v>1</v>
      </c>
      <c r="S37" s="156">
        <f t="shared" ca="1" si="3"/>
        <v>4.0170000000000006E-3</v>
      </c>
      <c r="U37" t="str">
        <f ca="1"/>
        <v>Polystyrène extrudé (XPS)</v>
      </c>
      <c r="V37">
        <f ca="1"/>
        <v>1.7267999999999999</v>
      </c>
      <c r="W37">
        <f ca="1"/>
        <v>99.58389763946694</v>
      </c>
      <c r="X37" s="156">
        <f ca="1"/>
        <v>1.0005E-2</v>
      </c>
      <c r="AB37" t="str">
        <f ca="1"/>
        <v>Plaque de plâtre cartonnée</v>
      </c>
      <c r="AC37">
        <f ca="1"/>
        <v>6.4111249999999993</v>
      </c>
      <c r="AD37" t="str">
        <f ca="1"/>
        <v>kg</v>
      </c>
      <c r="AE37" t="str">
        <f ca="1"/>
        <v>03.008</v>
      </c>
    </row>
    <row r="38" spans="2:31">
      <c r="B38" s="1151" t="str" cm="1">
        <f t="array" aca="1" ref="B38" ca="1">IFERROR(INDEX(Décomposition!H41:H310,MATCH(0,COUNTIF($B$1:B37,Décomposition!H41:H310),0)),-1)</f>
        <v>Installation électriques habitation</v>
      </c>
      <c r="C38" s="158" cm="1">
        <f t="array" aca="1" ref="C38" ca="1">IFERROR(SUM((Décomposition!$H$4:$H$270='List of materials'!B38)*Décomposition!$T$4:$T$270),0)</f>
        <v>25.92</v>
      </c>
      <c r="D38" s="1152" t="str">
        <f ca="1">_xlfn.XLOOKUP(B38, Décomposition!H:H, Décomposition!J:J, 0,0,1)</f>
        <v>m2</v>
      </c>
      <c r="E38" s="1152" t="str">
        <f ca="1">_xlfn.XLOOKUP(B38, Décomposition!H:H, Décomposition!I:I, 0,0,1)</f>
        <v>34.001</v>
      </c>
      <c r="F38" s="1153" cm="1">
        <f t="array" aca="1" ref="F38" ca="1">IFERROR(SUM((Décomposition!$H$4:$H$270='List of materials'!$B38)*Décomposition!$K$4:$K$270),0)</f>
        <v>160</v>
      </c>
      <c r="G38" s="158" cm="1">
        <f t="array" aca="1" ref="G38" ca="1">IF($D38=$G$1, IFERROR(SUM((Décomposition!$H$4:$H$270='List of materials'!$B38)*Décomposition!$K$4:$K$270),0), 0)</f>
        <v>160</v>
      </c>
      <c r="H38" cm="1">
        <f t="array" aca="1" ref="H38" ca="1">IF($D38=$H$1, IFERROR(SUM((Décomposition!$H$4:$H$270='List of materials'!$B38)*Décomposition!$K$4:$K$270),0), 0)</f>
        <v>0</v>
      </c>
      <c r="I38">
        <f t="shared" ca="1" si="4"/>
        <v>160</v>
      </c>
      <c r="J38" t="e">
        <f ca="1">_xlfn.XLOOKUP(B38,'Baumaterialien Matériaux'!AD:AD,'Baumaterialien Matériaux'!F:F)</f>
        <v>#N/A</v>
      </c>
      <c r="L38" s="254" t="str">
        <f ca="1"/>
        <v>Polystyrène extrudé (XPS)</v>
      </c>
      <c r="M38">
        <f ca="1"/>
        <v>1.7267999999999999</v>
      </c>
      <c r="N38" t="str">
        <f ca="1"/>
        <v>kg</v>
      </c>
      <c r="O38" t="str">
        <f ca="1"/>
        <v>10.005</v>
      </c>
      <c r="P38">
        <f ca="1"/>
        <v>9.6</v>
      </c>
      <c r="Q38">
        <f t="shared" ca="1" si="0"/>
        <v>99.58389763946694</v>
      </c>
      <c r="R38">
        <f t="shared" ca="1" si="1"/>
        <v>1</v>
      </c>
      <c r="S38" s="156">
        <f t="shared" ca="1" si="3"/>
        <v>1.0005E-2</v>
      </c>
      <c r="U38" t="str">
        <f ca="1"/>
        <v>Vol.excavation</v>
      </c>
      <c r="V38">
        <f ca="1"/>
        <v>1.3540586842217783</v>
      </c>
      <c r="W38">
        <f ca="1"/>
        <v>99.764041867564615</v>
      </c>
      <c r="X38" s="156">
        <f ca="1"/>
        <v>74.401200000000003</v>
      </c>
      <c r="AB38" t="str">
        <f ca="1"/>
        <v>Plaque de plâtre armé de fibres</v>
      </c>
      <c r="AC38">
        <f ca="1"/>
        <v>13.2384</v>
      </c>
      <c r="AD38" t="str">
        <f ca="1"/>
        <v>kg</v>
      </c>
      <c r="AE38" t="str">
        <f ca="1"/>
        <v>03.007</v>
      </c>
    </row>
    <row r="39" spans="2:31">
      <c r="B39" s="1151" t="str" cm="1">
        <f t="array" aca="1" ref="B39" ca="1">IFERROR(INDEX(Décomposition!H42:H311,MATCH(0,COUNTIF($B$1:B38,Décomposition!H42:H311),0)),-1)</f>
        <v>Installation photovoltaique (1 m2 = 0.14 kWp)</v>
      </c>
      <c r="C39" s="158" cm="1">
        <f t="array" aca="1" ref="C39" ca="1">IFERROR(SUM((Décomposition!$H$4:$H$270='List of materials'!B39)*Décomposition!$T$4:$T$270),0)</f>
        <v>0</v>
      </c>
      <c r="D39" s="1152" t="str">
        <f ca="1">_xlfn.XLOOKUP(B39, Décomposition!H:H, Décomposition!J:J, 0,0,1)</f>
        <v>kWp</v>
      </c>
      <c r="E39" s="1152" t="str">
        <f ca="1">_xlfn.XLOOKUP(B39, Décomposition!H:H, Décomposition!I:I, 0,0,1)</f>
        <v>34.026</v>
      </c>
      <c r="F39" s="1153" cm="1">
        <f t="array" aca="1" ref="F39" ca="1">IFERROR(SUM((Décomposition!$H$4:$H$270='List of materials'!$B39)*Décomposition!$K$4:$K$270),0)</f>
        <v>0</v>
      </c>
      <c r="G39" s="158" cm="1">
        <f t="array" aca="1" ref="G39" ca="1">IF($D39=$G$1, IFERROR(SUM((Décomposition!$H$4:$H$270='List of materials'!$B39)*Décomposition!$K$4:$K$270),0), 0)</f>
        <v>0</v>
      </c>
      <c r="H39" cm="1">
        <f t="array" aca="1" ref="H39" ca="1">IF($D39=$H$1, IFERROR(SUM((Décomposition!$H$4:$H$270='List of materials'!$B39)*Décomposition!$K$4:$K$270),0), 0)</f>
        <v>0</v>
      </c>
      <c r="I39" t="e">
        <f t="shared" ca="1" si="4"/>
        <v>#N/A</v>
      </c>
      <c r="J39" t="e">
        <f ca="1">_xlfn.XLOOKUP(B39,'Baumaterialien Matériaux'!AD:AD,'Baumaterialien Matériaux'!F:F)</f>
        <v>#N/A</v>
      </c>
      <c r="L39" s="254" t="str">
        <f ca="1"/>
        <v>Vol.excavation</v>
      </c>
      <c r="M39">
        <f ca="1"/>
        <v>1.3540586842217783</v>
      </c>
      <c r="N39" t="str">
        <f ca="1"/>
        <v>m3</v>
      </c>
      <c r="O39" t="str">
        <f ca="1"/>
        <v>62.001</v>
      </c>
      <c r="P39">
        <f ca="1"/>
        <v>500.34501033599196</v>
      </c>
      <c r="Q39">
        <f t="shared" ca="1" si="0"/>
        <v>99.764041867564615</v>
      </c>
      <c r="R39">
        <f t="shared" ca="1" si="1"/>
        <v>1200</v>
      </c>
      <c r="S39" s="156">
        <f t="shared" ca="1" si="3"/>
        <v>74.401200000000003</v>
      </c>
      <c r="U39" t="str">
        <f ca="1"/>
        <v>Feuille de polyéthylène (PE)</v>
      </c>
      <c r="V39">
        <f ca="1"/>
        <v>1.1265258452427975</v>
      </c>
      <c r="W39">
        <f ca="1"/>
        <v>99.913915082948918</v>
      </c>
      <c r="X39" s="156">
        <f ca="1"/>
        <v>9.0069999999999994E-3</v>
      </c>
      <c r="AB39" t="str">
        <f ca="1"/>
        <v>Béton pour bâtiment (sans armature)</v>
      </c>
      <c r="AC39">
        <f ca="1"/>
        <v>154.23157038296179</v>
      </c>
      <c r="AD39" t="str">
        <f ca="1"/>
        <v>kg</v>
      </c>
      <c r="AE39" t="str">
        <f ca="1"/>
        <v>01.002</v>
      </c>
    </row>
    <row r="40" spans="2:31">
      <c r="B40" s="1151" t="str" cm="1">
        <f t="array" aca="1" ref="B40" ca="1">IFERROR(INDEX(Décomposition!H43:H312,MATCH(0,COUNTIF($B$1:B39,Décomposition!H43:H312),0)),-1)</f>
        <v>Pompe à chaleur saumure-eau 15 kW</v>
      </c>
      <c r="C40" s="158" cm="1">
        <f t="array" aca="1" ref="C40" ca="1">IFERROR(SUM((Décomposition!$H$4:$H$270='List of materials'!B40)*Décomposition!$T$4:$T$270),0)</f>
        <v>0.35777947420315515</v>
      </c>
      <c r="D40" s="1152" t="str">
        <f ca="1">_xlfn.XLOOKUP(B40, Décomposition!H:H, Décomposition!J:J, 0,0,1)</f>
        <v>m2</v>
      </c>
      <c r="E40" s="1152">
        <f ca="1">_xlfn.XLOOKUP(B40, Décomposition!H:H, Décomposition!I:I, 0,0,1)</f>
        <v>0</v>
      </c>
      <c r="F40" s="1153" cm="1">
        <f t="array" aca="1" ref="F40" ca="1">IFERROR(SUM((Décomposition!$H$4:$H$270='List of materials'!$B40)*Décomposition!$K$4:$K$270),0)</f>
        <v>1</v>
      </c>
      <c r="G40" s="158" cm="1">
        <f t="array" aca="1" ref="G40" ca="1">IF($D40=$G$1, IFERROR(SUM((Décomposition!$H$4:$H$270='List of materials'!$B40)*Décomposition!$K$4:$K$270),0), 0)</f>
        <v>1</v>
      </c>
      <c r="H40" cm="1">
        <f t="array" aca="1" ref="H40" ca="1">IF($D40=$H$1, IFERROR(SUM((Décomposition!$H$4:$H$270='List of materials'!$B40)*Décomposition!$K$4:$K$270),0), 0)</f>
        <v>0</v>
      </c>
      <c r="I40">
        <f t="shared" ca="1" si="4"/>
        <v>1</v>
      </c>
      <c r="J40" t="e">
        <f ca="1">_xlfn.XLOOKUP(B40,'Baumaterialien Matériaux'!AD:AD,'Baumaterialien Matériaux'!F:F)</f>
        <v>#N/A</v>
      </c>
      <c r="L40" s="254" t="str">
        <f ca="1"/>
        <v>Feuille de polyéthylène (PE)</v>
      </c>
      <c r="M40">
        <f ca="1"/>
        <v>1.1265258452427975</v>
      </c>
      <c r="N40" t="str">
        <f ca="1"/>
        <v>kg</v>
      </c>
      <c r="O40" t="str">
        <f ca="1"/>
        <v>09.007</v>
      </c>
      <c r="P40">
        <f ca="1"/>
        <v>16.62768775266122</v>
      </c>
      <c r="Q40">
        <f t="shared" ca="1" si="0"/>
        <v>99.913915082948918</v>
      </c>
      <c r="R40">
        <f t="shared" ca="1" si="1"/>
        <v>1</v>
      </c>
      <c r="S40" s="156">
        <f t="shared" ca="1" si="3"/>
        <v>9.0069999999999994E-3</v>
      </c>
      <c r="U40" t="str">
        <f ca="1"/>
        <v>Pompe à chaleur saumure-eau 15 kW</v>
      </c>
      <c r="V40">
        <f ca="1"/>
        <v>0.35777947420315515</v>
      </c>
      <c r="W40">
        <f ca="1"/>
        <v>99.9615141330939</v>
      </c>
      <c r="X40" s="156">
        <f ca="1"/>
        <v>0</v>
      </c>
      <c r="AB40" t="str">
        <f ca="1"/>
        <v>Béton maigre (sans armature)</v>
      </c>
      <c r="AC40">
        <f ca="1"/>
        <v>7.8761666666666681</v>
      </c>
      <c r="AD40" t="str">
        <f ca="1"/>
        <v>kg</v>
      </c>
      <c r="AE40" t="str">
        <f ca="1"/>
        <v>01.001</v>
      </c>
    </row>
    <row r="41" spans="2:31">
      <c r="B41" s="1151" t="str" cm="1">
        <f t="array" aca="1" ref="B41" ca="1">IFERROR(INDEX(Décomposition!H44:H313,MATCH(0,COUNTIF($B$1:B40,Décomposition!H44:H313),0)),-1)</f>
        <v>Distribution et émission de chaleur habitation</v>
      </c>
      <c r="C41" s="158" cm="1">
        <f t="array" aca="1" ref="C41" ca="1">IFERROR(SUM((Décomposition!$H$4:$H$270='List of materials'!B41)*Décomposition!$T$4:$T$270),0)</f>
        <v>6.9300000000000015</v>
      </c>
      <c r="D41" s="1152" t="str">
        <f ca="1">_xlfn.XLOOKUP(B41, Décomposition!H:H, Décomposition!J:J, 0,0,1)</f>
        <v>m2</v>
      </c>
      <c r="E41" s="1152" t="str">
        <f ca="1">_xlfn.XLOOKUP(B41, Décomposition!H:H, Décomposition!I:I, 0,0,1)</f>
        <v>31.021</v>
      </c>
      <c r="F41" s="1153" cm="1">
        <f t="array" aca="1" ref="F41" ca="1">IFERROR(SUM((Décomposition!$H$4:$H$270='List of materials'!$B41)*Décomposition!$K$4:$K$270),0)</f>
        <v>160</v>
      </c>
      <c r="G41" s="158" cm="1">
        <f t="array" aca="1" ref="G41" ca="1">IF($D41=$G$1, IFERROR(SUM((Décomposition!$H$4:$H$270='List of materials'!$B41)*Décomposition!$K$4:$K$270),0), 0)</f>
        <v>160</v>
      </c>
      <c r="H41" cm="1">
        <f t="array" aca="1" ref="H41" ca="1">IF($D41=$H$1, IFERROR(SUM((Décomposition!$H$4:$H$270='List of materials'!$B41)*Décomposition!$K$4:$K$270),0), 0)</f>
        <v>0</v>
      </c>
      <c r="I41">
        <f t="shared" ca="1" si="4"/>
        <v>160</v>
      </c>
      <c r="J41" t="e">
        <f ca="1">_xlfn.XLOOKUP(B41,'Baumaterialien Matériaux'!AD:AD,'Baumaterialien Matériaux'!F:F)</f>
        <v>#N/A</v>
      </c>
      <c r="L41" s="254" t="str">
        <f ca="1"/>
        <v>Pompe à chaleur saumure-eau 15 kW</v>
      </c>
      <c r="M41">
        <f ca="1"/>
        <v>0.35777947420315515</v>
      </c>
      <c r="N41" t="str">
        <f ca="1"/>
        <v>m2</v>
      </c>
      <c r="O41">
        <f ca="1"/>
        <v>0</v>
      </c>
      <c r="P41">
        <f ca="1"/>
        <v>1</v>
      </c>
      <c r="Q41">
        <f t="shared" ca="1" si="0"/>
        <v>99.9615141330939</v>
      </c>
      <c r="R41">
        <f t="shared" ca="1" si="1"/>
        <v>0</v>
      </c>
      <c r="S41" s="156">
        <f t="shared" ca="1" si="3"/>
        <v>0</v>
      </c>
      <c r="U41" t="str">
        <f ca="1"/>
        <v>Émulsion de bitume, 1 couche</v>
      </c>
      <c r="V41">
        <f ca="1"/>
        <v>0.28927999999999998</v>
      </c>
      <c r="W41">
        <f ca="1"/>
        <v>100.00000000000007</v>
      </c>
      <c r="X41" s="156">
        <f ca="1"/>
        <v>3.50075E-3</v>
      </c>
      <c r="AB41" t="str">
        <f ca="1"/>
        <v>Pompe à chaleur saumure-eau 15 kW</v>
      </c>
      <c r="AC41">
        <f ca="1"/>
        <v>0.35777947420315515</v>
      </c>
      <c r="AD41" t="str">
        <f ca="1"/>
        <v>m2</v>
      </c>
      <c r="AE41">
        <f ca="1"/>
        <v>0</v>
      </c>
    </row>
    <row r="42" spans="2:31">
      <c r="B42" s="1151" t="str" cm="1">
        <f t="array" aca="1" ref="B42" ca="1">IFERROR(INDEX(Décomposition!H45:H314,MATCH(0,COUNTIF($B$1:B41,Décomposition!H45:H314),0)),-1)</f>
        <v>Sondes géothermiques</v>
      </c>
      <c r="C42" s="158" cm="1">
        <f t="array" aca="1" ref="C42" ca="1">IFERROR(SUM((Décomposition!$H$4:$H$270='List of materials'!B42)*Décomposition!$T$4:$T$270),0)</f>
        <v>21.806249999999999</v>
      </c>
      <c r="D42" s="1152" t="str">
        <f ca="1">_xlfn.XLOOKUP(B42, Décomposition!H:H, Décomposition!J:J, 0,0,1)</f>
        <v>m2</v>
      </c>
      <c r="E42" s="1152" t="str">
        <f ca="1">_xlfn.XLOOKUP(B42, Décomposition!H:H, Décomposition!I:I, 0,0,1)</f>
        <v>31.016</v>
      </c>
      <c r="F42" s="1153" cm="1">
        <f t="array" aca="1" ref="F42" ca="1">IFERROR(SUM((Décomposition!$H$4:$H$270='List of materials'!$B42)*Décomposition!$K$4:$K$270),0)</f>
        <v>150</v>
      </c>
      <c r="G42" s="158" cm="1">
        <f t="array" aca="1" ref="G42" ca="1">IF($D42=$G$1, IFERROR(SUM((Décomposition!$H$4:$H$270='List of materials'!$B42)*Décomposition!$K$4:$K$270),0), 0)</f>
        <v>150</v>
      </c>
      <c r="H42" cm="1">
        <f t="array" aca="1" ref="H42" ca="1">IF($D42=$H$1, IFERROR(SUM((Décomposition!$H$4:$H$270='List of materials'!$B42)*Décomposition!$K$4:$K$270),0), 0)</f>
        <v>0</v>
      </c>
      <c r="I42">
        <f t="shared" ca="1" si="4"/>
        <v>150</v>
      </c>
      <c r="J42" t="e">
        <f ca="1">_xlfn.XLOOKUP(B42,'Baumaterialien Matériaux'!AD:AD,'Baumaterialien Matériaux'!F:F)</f>
        <v>#N/A</v>
      </c>
      <c r="L42" s="254" t="str">
        <f ca="1"/>
        <v>Émulsion de bitume, 1 couche</v>
      </c>
      <c r="M42">
        <f ca="1"/>
        <v>0.28927999999999998</v>
      </c>
      <c r="N42" t="str">
        <f ca="1"/>
        <v>m2</v>
      </c>
      <c r="O42" t="str">
        <f ca="1"/>
        <v>14.003</v>
      </c>
      <c r="P42">
        <f ca="1"/>
        <v>256</v>
      </c>
      <c r="Q42">
        <f t="shared" ca="1" si="0"/>
        <v>100.00000000000007</v>
      </c>
      <c r="R42">
        <f t="shared" ca="1" si="1"/>
        <v>0.25</v>
      </c>
      <c r="S42" s="156">
        <f t="shared" ca="1" si="3"/>
        <v>3.50075E-3</v>
      </c>
      <c r="U42">
        <f ca="1"/>
        <v>0</v>
      </c>
      <c r="V42">
        <f ca="1"/>
        <v>0</v>
      </c>
      <c r="W42">
        <f ca="1"/>
        <v>100.00000000000007</v>
      </c>
      <c r="X42" s="156">
        <f ca="1"/>
        <v>0</v>
      </c>
    </row>
    <row r="43" spans="2:31">
      <c r="B43" s="1151" t="str" cm="1">
        <f t="array" aca="1" ref="B43" ca="1">IFERROR(INDEX(Décomposition!H46:H315,MATCH(0,COUNTIF($B$1:B42,Décomposition!H46:H315),0)),-1)</f>
        <v>Capteurs solaires</v>
      </c>
      <c r="C43" s="158" cm="1">
        <f t="array" aca="1" ref="C43" ca="1">IFERROR(SUM((Décomposition!$H$4:$H$270='List of materials'!B43)*Décomposition!$T$4:$T$270),0)</f>
        <v>4.2</v>
      </c>
      <c r="D43" s="1152" t="str">
        <f ca="1">_xlfn.XLOOKUP(B43, Décomposition!H:H, Décomposition!J:J, 0,0,1)</f>
        <v>m2</v>
      </c>
      <c r="E43" s="1152" t="str">
        <f ca="1">_xlfn.XLOOKUP(B43, Décomposition!H:H, Décomposition!I:I, 0,0,1)</f>
        <v>31.009</v>
      </c>
      <c r="F43" s="1153" cm="1">
        <f t="array" aca="1" ref="F43" ca="1">IFERROR(SUM((Décomposition!$H$4:$H$270='List of materials'!$B43)*Décomposition!$K$4:$K$270),0)</f>
        <v>2</v>
      </c>
      <c r="G43" s="158" cm="1">
        <f t="array" aca="1" ref="G43" ca="1">IF($D43=$G$1, IFERROR(SUM((Décomposition!$H$4:$H$270='List of materials'!$B43)*Décomposition!$K$4:$K$270),0), 0)</f>
        <v>2</v>
      </c>
      <c r="H43" cm="1">
        <f t="array" aca="1" ref="H43" ca="1">IF($D43=$H$1, IFERROR(SUM((Décomposition!$H$4:$H$270='List of materials'!$B43)*Décomposition!$K$4:$K$270),0), 0)</f>
        <v>0</v>
      </c>
      <c r="I43">
        <f t="shared" ca="1" si="4"/>
        <v>2</v>
      </c>
      <c r="J43" t="e">
        <f ca="1">_xlfn.XLOOKUP(B43,'Baumaterialien Matériaux'!AD:AD,'Baumaterialien Matériaux'!F:F)</f>
        <v>#N/A</v>
      </c>
      <c r="Q43">
        <f t="shared" ca="1" si="0"/>
        <v>100.00000000000007</v>
      </c>
      <c r="R43">
        <f t="shared" si="1"/>
        <v>0</v>
      </c>
      <c r="S43" s="156">
        <f t="shared" si="3"/>
        <v>0</v>
      </c>
    </row>
    <row r="44" spans="2:31">
      <c r="B44" s="1151" t="str" cm="1">
        <f t="array" aca="1" ref="B44" ca="1">IFERROR(INDEX(Décomposition!H47:H316,MATCH(0,COUNTIF($B$1:B43,Décomposition!H47:H316),0)),-1)</f>
        <v>Extraction mécanique cuisine et salle de bain</v>
      </c>
      <c r="C44" s="158" cm="1">
        <f t="array" aca="1" ref="C44" ca="1">IFERROR(SUM((Décomposition!$H$4:$H$270='List of materials'!B44)*Décomposition!$T$4:$T$270),0)</f>
        <v>7.2899999999999991</v>
      </c>
      <c r="D44" s="1152" t="str">
        <f ca="1">_xlfn.XLOOKUP(B44, Décomposition!H:H, Décomposition!J:J, 0,0,1)</f>
        <v>m2</v>
      </c>
      <c r="E44" s="1152" t="str">
        <f ca="1">_xlfn.XLOOKUP(B44, Décomposition!H:H, Décomposition!I:I, 0,0,1)</f>
        <v>32.003</v>
      </c>
      <c r="F44" s="1153" cm="1">
        <f t="array" aca="1" ref="F44" ca="1">IFERROR(SUM((Décomposition!$H$4:$H$270='List of materials'!$B44)*Décomposition!$K$4:$K$270),0)</f>
        <v>160</v>
      </c>
      <c r="G44" s="158" cm="1">
        <f t="array" aca="1" ref="G44" ca="1">IF($D44=$G$1, IFERROR(SUM((Décomposition!$H$4:$H$270='List of materials'!$B44)*Décomposition!$K$4:$K$270),0), 0)</f>
        <v>160</v>
      </c>
      <c r="H44" cm="1">
        <f t="array" aca="1" ref="H44" ca="1">IF($D44=$H$1, IFERROR(SUM((Décomposition!$H$4:$H$270='List of materials'!$B44)*Décomposition!$K$4:$K$270),0), 0)</f>
        <v>0</v>
      </c>
      <c r="I44">
        <f t="shared" ca="1" si="4"/>
        <v>160</v>
      </c>
      <c r="J44" t="e">
        <f ca="1">_xlfn.XLOOKUP(B44,'Baumaterialien Matériaux'!AD:AD,'Baumaterialien Matériaux'!F:F)</f>
        <v>#N/A</v>
      </c>
      <c r="Q44">
        <f t="shared" ca="1" si="0"/>
        <v>100.00000000000007</v>
      </c>
      <c r="R44">
        <f t="shared" si="1"/>
        <v>0</v>
      </c>
      <c r="S44" s="156">
        <f t="shared" si="3"/>
        <v>0</v>
      </c>
    </row>
    <row r="45" spans="2:31">
      <c r="B45" s="1151" t="str" cm="1">
        <f t="array" aca="1" ref="B45" ca="1">IFERROR(INDEX(Décomposition!H48:H317,MATCH(0,COUNTIF($B$1:B44,Décomposition!H48:H317),0)),-1)</f>
        <v>Système de ventilation habitation</v>
      </c>
      <c r="C45" s="158" cm="1">
        <f t="array" aca="1" ref="C45" ca="1">IFERROR(SUM((Décomposition!$H$4:$H$270='List of materials'!B45)*Décomposition!$T$4:$T$270),0)</f>
        <v>29.875999999999998</v>
      </c>
      <c r="D45" s="1152" t="str">
        <f ca="1">_xlfn.XLOOKUP(B45, Décomposition!H:H, Décomposition!J:J, 0,0,1)</f>
        <v>m2</v>
      </c>
      <c r="E45" s="1152" t="str">
        <f ca="1">_xlfn.XLOOKUP(B45, Décomposition!H:H, Décomposition!I:I, 0,0,1)</f>
        <v>32.011</v>
      </c>
      <c r="F45" s="1153" cm="1">
        <f t="array" aca="1" ref="F45" ca="1">IFERROR(SUM((Décomposition!$H$4:$H$270='List of materials'!$B45)*Décomposition!$K$4:$K$270),0)</f>
        <v>160</v>
      </c>
      <c r="G45" s="158" cm="1">
        <f t="array" aca="1" ref="G45" ca="1">IF($D45=$G$1, IFERROR(SUM((Décomposition!$H$4:$H$270='List of materials'!$B45)*Décomposition!$K$4:$K$270),0), 0)</f>
        <v>160</v>
      </c>
      <c r="H45" cm="1">
        <f t="array" aca="1" ref="H45" ca="1">IF($D45=$H$1, IFERROR(SUM((Décomposition!$H$4:$H$270='List of materials'!$B45)*Décomposition!$K$4:$K$270),0), 0)</f>
        <v>0</v>
      </c>
      <c r="I45">
        <f t="shared" ref="I45:I69" ca="1" si="5">IF(F45&gt;0,F45,IF(G45&gt;0,G45*J45,H45*J45))</f>
        <v>160</v>
      </c>
      <c r="J45" t="e">
        <f ca="1">_xlfn.XLOOKUP(B45,'Baumaterialien Matériaux'!AD:AD,'Baumaterialien Matériaux'!F:F)</f>
        <v>#N/A</v>
      </c>
      <c r="Q45">
        <f t="shared" ca="1" si="0"/>
        <v>100.00000000000007</v>
      </c>
      <c r="R45">
        <f t="shared" si="1"/>
        <v>0</v>
      </c>
      <c r="S45" s="156">
        <f t="shared" si="3"/>
        <v>0</v>
      </c>
    </row>
    <row r="46" spans="2:31">
      <c r="B46" s="1151" t="str" cm="1">
        <f t="array" aca="1" ref="B46" ca="1">IFERROR(INDEX(Décomposition!H49:H318,MATCH(0,COUNTIF($B$1:B45,Décomposition!H49:H318),0)),-1)</f>
        <v>Installation sanitaire habitation</v>
      </c>
      <c r="C46" s="158" cm="1">
        <f t="array" aca="1" ref="C46" ca="1">IFERROR(SUM((Décomposition!$H$4:$H$270='List of materials'!B46)*Décomposition!$T$4:$T$270),0)</f>
        <v>25.08</v>
      </c>
      <c r="D46" s="1152" t="str">
        <f ca="1">_xlfn.XLOOKUP(B46, Décomposition!H:H, Décomposition!J:J, 0,0,1)</f>
        <v>m2</v>
      </c>
      <c r="E46" s="1152" t="str">
        <f ca="1">_xlfn.XLOOKUP(B46, Décomposition!H:H, Décomposition!I:I, 0,0,1)</f>
        <v>33.003</v>
      </c>
      <c r="F46" s="1153" cm="1">
        <f t="array" aca="1" ref="F46" ca="1">IFERROR(SUM((Décomposition!$H$4:$H$270='List of materials'!$B46)*Décomposition!$K$4:$K$270),0)</f>
        <v>160</v>
      </c>
      <c r="G46" s="158" cm="1">
        <f t="array" aca="1" ref="G46" ca="1">IF($D46=$G$1, IFERROR(SUM((Décomposition!$H$4:$H$270='List of materials'!$B46)*Décomposition!$K$4:$K$270),0), 0)</f>
        <v>160</v>
      </c>
      <c r="H46" cm="1">
        <f t="array" aca="1" ref="H46" ca="1">IF($D46=$H$1, IFERROR(SUM((Décomposition!$H$4:$H$270='List of materials'!$B46)*Décomposition!$K$4:$K$270),0), 0)</f>
        <v>0</v>
      </c>
      <c r="I46">
        <f t="shared" ca="1" si="5"/>
        <v>160</v>
      </c>
      <c r="J46" t="e">
        <f ca="1">_xlfn.XLOOKUP(B46,'Baumaterialien Matériaux'!AD:AD,'Baumaterialien Matériaux'!F:F)</f>
        <v>#N/A</v>
      </c>
      <c r="Q46">
        <f t="shared" ca="1" si="0"/>
        <v>100.00000000000007</v>
      </c>
      <c r="R46">
        <f t="shared" si="1"/>
        <v>0</v>
      </c>
      <c r="S46" s="156">
        <f t="shared" si="3"/>
        <v>0</v>
      </c>
    </row>
    <row r="47" spans="2:31">
      <c r="B47" s="1151" t="str" cm="1">
        <f t="array" aca="1" ref="B47" ca="1">IFERROR(INDEX(Décomposition!H50:H319,MATCH(0,COUNTIF($B$1:B46,Décomposition!H50:H319),0)),-1)</f>
        <v>Excavations mécaniques, en moyenne</v>
      </c>
      <c r="C47" s="158" cm="1">
        <f t="array" aca="1" ref="C47" ca="1">IFERROR(SUM((Décomposition!$H$4:$H$270='List of materials'!B47)*Décomposition!$T$4:$T$270),0)</f>
        <v>0</v>
      </c>
      <c r="D47" s="1152">
        <f ca="1">_xlfn.XLOOKUP(B47, Décomposition!H:H, Décomposition!J:J, 0,0,1)</f>
        <v>0</v>
      </c>
      <c r="E47" s="1152" t="str">
        <f ca="1">_xlfn.XLOOKUP(B47, Décomposition!H:H, Décomposition!I:I, 0,0,1)</f>
        <v>62.001</v>
      </c>
      <c r="F47" s="1153" cm="1">
        <f t="array" aca="1" ref="F47" ca="1">IFERROR(SUM((Décomposition!$H$4:$H$270='List of materials'!$B47)*Décomposition!$K$4:$K$270),0)</f>
        <v>0</v>
      </c>
      <c r="G47" s="158" cm="1">
        <f t="array" aca="1" ref="G47" ca="1">IF($D47=$G$1, IFERROR(SUM((Décomposition!$H$4:$H$270='List of materials'!$B47)*Décomposition!$K$4:$K$270),0), 0)</f>
        <v>0</v>
      </c>
      <c r="H47" cm="1">
        <f t="array" aca="1" ref="H47" ca="1">IF($D47=$H$1, IFERROR(SUM((Décomposition!$H$4:$H$270='List of materials'!$B47)*Décomposition!$K$4:$K$270),0), 0)</f>
        <v>0</v>
      </c>
      <c r="I47" t="e">
        <f t="shared" ca="1" si="5"/>
        <v>#N/A</v>
      </c>
      <c r="J47" t="e">
        <f ca="1">_xlfn.XLOOKUP(B47,'Baumaterialien Matériaux'!AD:AD,'Baumaterialien Matériaux'!F:F)</f>
        <v>#N/A</v>
      </c>
      <c r="Q47">
        <f t="shared" ca="1" si="0"/>
        <v>100.00000000000007</v>
      </c>
      <c r="R47">
        <f t="shared" si="1"/>
        <v>0</v>
      </c>
      <c r="S47" s="156">
        <f t="shared" si="3"/>
        <v>0</v>
      </c>
    </row>
    <row r="48" spans="2:31">
      <c r="B48" s="1151" t="str" cm="1">
        <f t="array" aca="1" ref="B48" ca="1">IFERROR(INDEX(Décomposition!H51:H320,MATCH(0,COUNTIF($B$1:B47,Décomposition!H51:H320),0)),-1)</f>
        <v>Gravier concassé 1</v>
      </c>
      <c r="C48" s="158" cm="1">
        <f t="array" aca="1" ref="C48" ca="1">IFERROR(SUM((Décomposition!$H$4:$H$270='List of materials'!B48)*Décomposition!$T$4:$T$270),0)</f>
        <v>0</v>
      </c>
      <c r="D48" s="1152" t="str">
        <f ca="1">_xlfn.XLOOKUP(B48, Décomposition!H:H, Décomposition!J:J, 0,0,1)</f>
        <v>kg</v>
      </c>
      <c r="E48" s="1152" t="str">
        <f ca="1">_xlfn.XLOOKUP(B48, Décomposition!H:H, Décomposition!I:I, 0,0,1)</f>
        <v>03.011</v>
      </c>
      <c r="F48" s="1153" cm="1">
        <f t="array" aca="1" ref="F48" ca="1">IFERROR(SUM((Décomposition!$H$4:$H$270='List of materials'!$B48)*Décomposition!$K$4:$K$270),0)</f>
        <v>0</v>
      </c>
      <c r="G48" s="158" cm="1">
        <f t="array" aca="1" ref="G48" ca="1">IF($D48=$G$1, IFERROR(SUM((Décomposition!$H$4:$H$270='List of materials'!$B48)*Décomposition!$K$4:$K$270),0), 0)</f>
        <v>0</v>
      </c>
      <c r="H48" cm="1">
        <f t="array" aca="1" ref="H48" ca="1">IF($D48=$H$1, IFERROR(SUM((Décomposition!$H$4:$H$270='List of materials'!$B48)*Décomposition!$K$4:$K$270),0), 0)</f>
        <v>0</v>
      </c>
      <c r="I48" t="e">
        <f t="shared" ca="1" si="5"/>
        <v>#VALUE!</v>
      </c>
      <c r="J48" t="str">
        <f ca="1">_xlfn.XLOOKUP(B48,'Baumaterialien Matériaux'!AD:AD,'Baumaterialien Matériaux'!F:F)</f>
        <v>1'400 - 1'500</v>
      </c>
      <c r="Q48">
        <f t="shared" ca="1" si="0"/>
        <v>100.00000000000007</v>
      </c>
      <c r="R48">
        <f t="shared" si="1"/>
        <v>0</v>
      </c>
      <c r="S48" s="156">
        <f t="shared" si="3"/>
        <v>0</v>
      </c>
    </row>
    <row r="49" spans="2:19">
      <c r="B49" s="1151" t="str" cm="1">
        <f t="array" aca="1" ref="B49" ca="1">IFERROR(INDEX(Décomposition!H52:H321,MATCH(0,COUNTIF($B$1:B48,Décomposition!H52:H321),0)),-1)</f>
        <v>Enrobé bitumineux</v>
      </c>
      <c r="C49" s="158" cm="1">
        <f t="array" aca="1" ref="C49" ca="1">IFERROR(SUM((Décomposition!$H$4:$H$270='List of materials'!B49)*Décomposition!$T$4:$T$270),0)</f>
        <v>0</v>
      </c>
      <c r="D49" s="1152" t="str">
        <f ca="1">_xlfn.XLOOKUP(B49, Décomposition!H:H, Décomposition!J:J, 0,0,1)</f>
        <v>kg</v>
      </c>
      <c r="E49" s="1152" t="str">
        <f ca="1">_xlfn.XLOOKUP(B49, Décomposition!H:H, Décomposition!I:I, 0,0,1)</f>
        <v>01.003</v>
      </c>
      <c r="F49" s="1153" cm="1">
        <f t="array" aca="1" ref="F49" ca="1">IFERROR(SUM((Décomposition!$H$4:$H$270='List of materials'!$B49)*Décomposition!$K$4:$K$270),0)</f>
        <v>0</v>
      </c>
      <c r="G49" s="158" cm="1">
        <f t="array" aca="1" ref="G49" ca="1">IF($D49=$G$1, IFERROR(SUM((Décomposition!$H$4:$H$270='List of materials'!$B49)*Décomposition!$K$4:$K$270),0), 0)</f>
        <v>0</v>
      </c>
      <c r="H49" cm="1">
        <f t="array" aca="1" ref="H49" ca="1">IF($D49=$H$1, IFERROR(SUM((Décomposition!$H$4:$H$270='List of materials'!$B49)*Décomposition!$K$4:$K$270),0), 0)</f>
        <v>0</v>
      </c>
      <c r="I49" t="e">
        <f t="shared" ca="1" si="5"/>
        <v>#N/A</v>
      </c>
      <c r="J49" t="e">
        <f ca="1">_xlfn.XLOOKUP(B49,'Baumaterialien Matériaux'!AD:AD,'Baumaterialien Matériaux'!F:F)</f>
        <v>#N/A</v>
      </c>
      <c r="Q49">
        <f t="shared" ca="1" si="0"/>
        <v>100.00000000000007</v>
      </c>
      <c r="R49">
        <f t="shared" si="1"/>
        <v>0</v>
      </c>
      <c r="S49" s="156">
        <f t="shared" si="3"/>
        <v>0</v>
      </c>
    </row>
    <row r="50" spans="2:19">
      <c r="B50" s="1151" t="str" cm="1">
        <f t="array" aca="1" ref="B50" ca="1">IFERROR(INDEX(Décomposition!H53:H322,MATCH(0,COUNTIF($B$1:B49,Décomposition!H53:H322),0)),-1)</f>
        <v>Polypropylène (PP)</v>
      </c>
      <c r="C50" s="158" cm="1">
        <f t="array" aca="1" ref="C50" ca="1">IFERROR(SUM((Décomposition!$H$4:$H$270='List of materials'!B50)*Décomposition!$T$4:$T$270),0)</f>
        <v>0</v>
      </c>
      <c r="D50" s="1152" t="str">
        <f ca="1">_xlfn.XLOOKUP(B50, Décomposition!H:H, Décomposition!J:J, 0,0,1)</f>
        <v>kg</v>
      </c>
      <c r="E50" s="1152" t="str">
        <f ca="1">_xlfn.XLOOKUP(B50, Décomposition!H:H, Décomposition!I:I, 0,0,1)</f>
        <v>13.003</v>
      </c>
      <c r="F50" s="1153" cm="1">
        <f t="array" aca="1" ref="F50" ca="1">IFERROR(SUM((Décomposition!$H$4:$H$270='List of materials'!$B50)*Décomposition!$K$4:$K$270),0)</f>
        <v>0</v>
      </c>
      <c r="G50" s="158" cm="1">
        <f t="array" aca="1" ref="G50" ca="1">IF($D50=$G$1, IFERROR(SUM((Décomposition!$H$4:$H$270='List of materials'!$B50)*Décomposition!$K$4:$K$270),0), 0)</f>
        <v>0</v>
      </c>
      <c r="H50" cm="1">
        <f t="array" aca="1" ref="H50" ca="1">IF($D50=$H$1, IFERROR(SUM((Décomposition!$H$4:$H$270='List of materials'!$B50)*Décomposition!$K$4:$K$270),0), 0)</f>
        <v>0</v>
      </c>
      <c r="I50">
        <f t="shared" ca="1" si="5"/>
        <v>0</v>
      </c>
      <c r="J50">
        <f ca="1">_xlfn.XLOOKUP(B50,'Baumaterialien Matériaux'!AD:AD,'Baumaterialien Matériaux'!F:F)</f>
        <v>910</v>
      </c>
      <c r="Q50">
        <f t="shared" ca="1" si="0"/>
        <v>100.00000000000007</v>
      </c>
      <c r="R50">
        <f t="shared" si="1"/>
        <v>0</v>
      </c>
      <c r="S50" s="156">
        <f t="shared" si="3"/>
        <v>0</v>
      </c>
    </row>
    <row r="51" spans="2:19">
      <c r="B51" s="1151" t="str" cm="1">
        <f t="array" aca="1" ref="B51" ca="1">IFERROR(INDEX(Décomposition!H54:H323,MATCH(0,COUNTIF($B$1:B50,Décomposition!H54:H323),0)),-1)</f>
        <v>Béton pour travaux de génie civil (sans armature)</v>
      </c>
      <c r="C51" s="158" cm="1">
        <f t="array" aca="1" ref="C51" ca="1">IFERROR(SUM((Décomposition!$H$4:$H$270='List of materials'!B51)*Décomposition!$T$4:$T$270),0)</f>
        <v>0</v>
      </c>
      <c r="D51" s="1152" t="str">
        <f ca="1">_xlfn.XLOOKUP(B51, Décomposition!H:H, Décomposition!J:J, 0,0,1)</f>
        <v>kg</v>
      </c>
      <c r="E51" s="1152" t="str">
        <f ca="1">_xlfn.XLOOKUP(B51, Décomposition!H:H, Décomposition!I:I, 0,0,1)</f>
        <v>01.003</v>
      </c>
      <c r="F51" s="1153" cm="1">
        <f t="array" aca="1" ref="F51" ca="1">IFERROR(SUM((Décomposition!$H$4:$H$270='List of materials'!$B51)*Décomposition!$K$4:$K$270),0)</f>
        <v>0</v>
      </c>
      <c r="G51" s="158" cm="1">
        <f t="array" aca="1" ref="G51" ca="1">IF($D51=$G$1, IFERROR(SUM((Décomposition!$H$4:$H$270='List of materials'!$B51)*Décomposition!$K$4:$K$270),0), 0)</f>
        <v>0</v>
      </c>
      <c r="H51" cm="1">
        <f t="array" aca="1" ref="H51" ca="1">IF($D51=$H$1, IFERROR(SUM((Décomposition!$H$4:$H$270='List of materials'!$B51)*Décomposition!$K$4:$K$270),0), 0)</f>
        <v>0</v>
      </c>
      <c r="I51">
        <f t="shared" ca="1" si="5"/>
        <v>0</v>
      </c>
      <c r="J51">
        <f ca="1">_xlfn.XLOOKUP(B51,'Baumaterialien Matériaux'!AD:AD,'Baumaterialien Matériaux'!F:F)</f>
        <v>2350</v>
      </c>
      <c r="Q51">
        <f t="shared" ca="1" si="0"/>
        <v>100.00000000000007</v>
      </c>
      <c r="R51">
        <f t="shared" si="1"/>
        <v>0</v>
      </c>
      <c r="S51" s="156">
        <f t="shared" si="3"/>
        <v>0</v>
      </c>
    </row>
    <row r="52" spans="2:19">
      <c r="B52" s="1151" cm="1">
        <f t="array" aca="1" ref="B52" ca="1">IFERROR(INDEX(Décomposition!H55:H324,MATCH(0,COUNTIF($B$1:B51,Décomposition!H55:H324),0)),-1)</f>
        <v>-1</v>
      </c>
      <c r="C52" s="158" cm="1">
        <f t="array" aca="1" ref="C52" ca="1">IFERROR(SUM((Décomposition!$H$4:$H$270='List of materials'!B52)*Décomposition!$T$4:$T$270),0)</f>
        <v>0</v>
      </c>
      <c r="D52" s="1152">
        <f ca="1">_xlfn.XLOOKUP(B52, Décomposition!H:H, Décomposition!J:J, 0,0,1)</f>
        <v>0</v>
      </c>
      <c r="E52" s="1152">
        <f ca="1">_xlfn.XLOOKUP(B52, Décomposition!H:H, Décomposition!I:I, 0,0,1)</f>
        <v>0</v>
      </c>
      <c r="F52" s="1153" cm="1">
        <f t="array" aca="1" ref="F52" ca="1">IFERROR(SUM((Décomposition!$H$4:$H$270='List of materials'!$B52)*Décomposition!$K$4:$K$270),0)</f>
        <v>0</v>
      </c>
      <c r="G52" s="158" cm="1">
        <f t="array" aca="1" ref="G52" ca="1">IF($D52=$G$1, IFERROR(SUM((Décomposition!$H$4:$H$270='List of materials'!$B52)*Décomposition!$K$4:$K$270),0), 0)</f>
        <v>0</v>
      </c>
      <c r="H52" cm="1">
        <f t="array" aca="1" ref="H52" ca="1">IF($D52=$H$1, IFERROR(SUM((Décomposition!$H$4:$H$270='List of materials'!$B52)*Décomposition!$K$4:$K$270),0), 0)</f>
        <v>0</v>
      </c>
      <c r="I52" t="e">
        <f t="shared" ca="1" si="5"/>
        <v>#N/A</v>
      </c>
      <c r="J52" t="e">
        <f ca="1">_xlfn.XLOOKUP(B52,'Baumaterialien Matériaux'!AD:AD,'Baumaterialien Matériaux'!F:F)</f>
        <v>#N/A</v>
      </c>
      <c r="Q52">
        <f t="shared" ca="1" si="0"/>
        <v>100.00000000000007</v>
      </c>
      <c r="R52">
        <f t="shared" si="1"/>
        <v>0</v>
      </c>
      <c r="S52" s="156">
        <f t="shared" si="3"/>
        <v>0</v>
      </c>
    </row>
    <row r="53" spans="2:19">
      <c r="B53" s="1151" cm="1">
        <f t="array" aca="1" ref="B53" ca="1">IFERROR(INDEX(Décomposition!H56:H325,MATCH(0,COUNTIF($B$1:B52,Décomposition!H56:H325),0)),-1)</f>
        <v>-1</v>
      </c>
      <c r="C53" s="158" cm="1">
        <f t="array" aca="1" ref="C53" ca="1">IFERROR(SUM((Décomposition!$H$4:$H$270='List of materials'!B53)*Décomposition!$T$4:$T$270),0)</f>
        <v>0</v>
      </c>
      <c r="D53" s="1152">
        <f ca="1">_xlfn.XLOOKUP(B53, Décomposition!H:H, Décomposition!J:J, 0,0,1)</f>
        <v>0</v>
      </c>
      <c r="E53" s="1152">
        <f ca="1">_xlfn.XLOOKUP(B53, Décomposition!H:H, Décomposition!I:I, 0,0,1)</f>
        <v>0</v>
      </c>
      <c r="F53" s="1153" cm="1">
        <f t="array" aca="1" ref="F53" ca="1">IFERROR(SUM((Décomposition!$H$4:$H$270='List of materials'!$B53)*Décomposition!$K$4:$K$270),0)</f>
        <v>0</v>
      </c>
      <c r="G53" s="158" cm="1">
        <f t="array" aca="1" ref="G53" ca="1">IF($D53=$G$1, IFERROR(SUM((Décomposition!$H$4:$H$270='List of materials'!$B53)*Décomposition!$K$4:$K$270),0), 0)</f>
        <v>0</v>
      </c>
      <c r="H53" cm="1">
        <f t="array" aca="1" ref="H53" ca="1">IF($D53=$H$1, IFERROR(SUM((Décomposition!$H$4:$H$270='List of materials'!$B53)*Décomposition!$K$4:$K$270),0), 0)</f>
        <v>0</v>
      </c>
      <c r="I53" t="e">
        <f t="shared" ca="1" si="5"/>
        <v>#N/A</v>
      </c>
      <c r="J53" t="e">
        <f ca="1">_xlfn.XLOOKUP(B53,'Baumaterialien Matériaux'!AD:AD,'Baumaterialien Matériaux'!F:F)</f>
        <v>#N/A</v>
      </c>
      <c r="Q53">
        <f t="shared" ca="1" si="0"/>
        <v>100.00000000000007</v>
      </c>
      <c r="R53">
        <f t="shared" si="1"/>
        <v>0</v>
      </c>
      <c r="S53" s="156">
        <f t="shared" si="3"/>
        <v>0</v>
      </c>
    </row>
    <row r="54" spans="2:19">
      <c r="B54" s="1151" cm="1">
        <f t="array" aca="1" ref="B54" ca="1">IFERROR(INDEX(Décomposition!H57:H326,MATCH(0,COUNTIF($B$1:B53,Décomposition!H57:H326),0)),-1)</f>
        <v>-1</v>
      </c>
      <c r="C54" s="158" cm="1">
        <f t="array" aca="1" ref="C54" ca="1">IFERROR(SUM((Décomposition!$H$4:$H$270='List of materials'!B54)*Décomposition!$T$4:$T$270),0)</f>
        <v>0</v>
      </c>
      <c r="D54" s="1152">
        <f ca="1">_xlfn.XLOOKUP(B54, Décomposition!H:H, Décomposition!J:J, 0,0,1)</f>
        <v>0</v>
      </c>
      <c r="E54" s="1152">
        <f ca="1">_xlfn.XLOOKUP(B54, Décomposition!H:H, Décomposition!I:I, 0,0,1)</f>
        <v>0</v>
      </c>
      <c r="F54" s="1153" cm="1">
        <f t="array" aca="1" ref="F54" ca="1">IFERROR(SUM((Décomposition!$H$4:$H$270='List of materials'!$B54)*Décomposition!$K$4:$K$270),0)</f>
        <v>0</v>
      </c>
      <c r="G54" s="158" cm="1">
        <f t="array" aca="1" ref="G54" ca="1">IF($D54=$G$1, IFERROR(SUM((Décomposition!$H$4:$H$270='List of materials'!$B54)*Décomposition!$K$4:$K$270),0), 0)</f>
        <v>0</v>
      </c>
      <c r="H54" cm="1">
        <f t="array" aca="1" ref="H54" ca="1">IF($D54=$H$1, IFERROR(SUM((Décomposition!$H$4:$H$270='List of materials'!$B54)*Décomposition!$K$4:$K$270),0), 0)</f>
        <v>0</v>
      </c>
      <c r="I54" t="e">
        <f t="shared" ca="1" si="5"/>
        <v>#N/A</v>
      </c>
      <c r="J54" t="e">
        <f ca="1">_xlfn.XLOOKUP(B54,'Baumaterialien Matériaux'!AD:AD,'Baumaterialien Matériaux'!F:F)</f>
        <v>#N/A</v>
      </c>
      <c r="Q54">
        <f t="shared" ca="1" si="0"/>
        <v>100.00000000000007</v>
      </c>
      <c r="R54">
        <f t="shared" si="1"/>
        <v>0</v>
      </c>
      <c r="S54" s="156">
        <f t="shared" si="3"/>
        <v>0</v>
      </c>
    </row>
    <row r="55" spans="2:19">
      <c r="B55" s="1151" cm="1">
        <f t="array" aca="1" ref="B55" ca="1">IFERROR(INDEX(Décomposition!H58:H327,MATCH(0,COUNTIF($B$1:B54,Décomposition!H58:H327),0)),-1)</f>
        <v>-1</v>
      </c>
      <c r="C55" s="158" cm="1">
        <f t="array" aca="1" ref="C55" ca="1">IFERROR(SUM((Décomposition!$H$4:$H$270='List of materials'!B55)*Décomposition!$T$4:$T$270),0)</f>
        <v>0</v>
      </c>
      <c r="D55" s="1152">
        <f ca="1">_xlfn.XLOOKUP(B55, Décomposition!H:H, Décomposition!J:J, 0,0,1)</f>
        <v>0</v>
      </c>
      <c r="E55" s="1152">
        <f ca="1">_xlfn.XLOOKUP(B55, Décomposition!H:H, Décomposition!I:I, 0,0,1)</f>
        <v>0</v>
      </c>
      <c r="F55" s="1153" cm="1">
        <f t="array" aca="1" ref="F55" ca="1">IFERROR(SUM((Décomposition!$H$4:$H$270='List of materials'!$B55)*Décomposition!$K$4:$K$270),0)</f>
        <v>0</v>
      </c>
      <c r="G55" s="158" cm="1">
        <f t="array" aca="1" ref="G55" ca="1">IF($D55=$G$1, IFERROR(SUM((Décomposition!$H$4:$H$270='List of materials'!$B55)*Décomposition!$K$4:$K$270),0), 0)</f>
        <v>0</v>
      </c>
      <c r="H55" cm="1">
        <f t="array" aca="1" ref="H55" ca="1">IF($D55=$H$1, IFERROR(SUM((Décomposition!$H$4:$H$270='List of materials'!$B55)*Décomposition!$K$4:$K$270),0), 0)</f>
        <v>0</v>
      </c>
      <c r="I55" t="e">
        <f t="shared" ca="1" si="5"/>
        <v>#N/A</v>
      </c>
      <c r="J55" t="e">
        <f ca="1">_xlfn.XLOOKUP(B55,'Baumaterialien Matériaux'!AD:AD,'Baumaterialien Matériaux'!F:F)</f>
        <v>#N/A</v>
      </c>
      <c r="Q55">
        <f t="shared" ca="1" si="0"/>
        <v>100.00000000000007</v>
      </c>
      <c r="R55">
        <f t="shared" si="1"/>
        <v>0</v>
      </c>
      <c r="S55" s="156">
        <f t="shared" si="3"/>
        <v>0</v>
      </c>
    </row>
    <row r="56" spans="2:19">
      <c r="B56" s="1151" cm="1">
        <f t="array" aca="1" ref="B56" ca="1">IFERROR(INDEX(Décomposition!H59:H328,MATCH(0,COUNTIF($B$1:B55,Décomposition!H59:H328),0)),-1)</f>
        <v>-1</v>
      </c>
      <c r="C56" s="158" cm="1">
        <f t="array" aca="1" ref="C56" ca="1">IFERROR(SUM((Décomposition!$H$4:$H$270='List of materials'!B56)*Décomposition!$T$4:$T$270),0)</f>
        <v>0</v>
      </c>
      <c r="D56" s="1152">
        <f ca="1">_xlfn.XLOOKUP(B56, Décomposition!H:H, Décomposition!J:J, 0,0,1)</f>
        <v>0</v>
      </c>
      <c r="E56" s="1152">
        <f ca="1">_xlfn.XLOOKUP(B56, Décomposition!H:H, Décomposition!I:I, 0,0,1)</f>
        <v>0</v>
      </c>
      <c r="F56" s="1153" cm="1">
        <f t="array" aca="1" ref="F56" ca="1">IFERROR(SUM((Décomposition!$H$4:$H$270='List of materials'!$B56)*Décomposition!$K$4:$K$270),0)</f>
        <v>0</v>
      </c>
      <c r="G56" s="158" cm="1">
        <f t="array" aca="1" ref="G56" ca="1">IF($D56=$G$1, IFERROR(SUM((Décomposition!$H$4:$H$270='List of materials'!$B56)*Décomposition!$K$4:$K$270),0), 0)</f>
        <v>0</v>
      </c>
      <c r="H56" cm="1">
        <f t="array" aca="1" ref="H56" ca="1">IF($D56=$H$1, IFERROR(SUM((Décomposition!$H$4:$H$270='List of materials'!$B56)*Décomposition!$K$4:$K$270),0), 0)</f>
        <v>0</v>
      </c>
      <c r="I56" t="e">
        <f t="shared" ca="1" si="5"/>
        <v>#N/A</v>
      </c>
      <c r="J56" t="e">
        <f ca="1">_xlfn.XLOOKUP(B56,'Baumaterialien Matériaux'!AD:AD,'Baumaterialien Matériaux'!F:F)</f>
        <v>#N/A</v>
      </c>
      <c r="Q56">
        <f t="shared" ca="1" si="0"/>
        <v>100.00000000000007</v>
      </c>
      <c r="R56">
        <f t="shared" si="1"/>
        <v>0</v>
      </c>
      <c r="S56" s="156">
        <f t="shared" si="3"/>
        <v>0</v>
      </c>
    </row>
    <row r="57" spans="2:19">
      <c r="B57" s="1151" cm="1">
        <f t="array" aca="1" ref="B57" ca="1">IFERROR(INDEX(Décomposition!H60:H329,MATCH(0,COUNTIF($B$1:B56,Décomposition!H60:H329),0)),-1)</f>
        <v>-1</v>
      </c>
      <c r="C57" s="158" cm="1">
        <f t="array" aca="1" ref="C57" ca="1">IFERROR(SUM((Décomposition!$H$4:$H$270='List of materials'!B57)*Décomposition!$T$4:$T$270),0)</f>
        <v>0</v>
      </c>
      <c r="D57" s="1152">
        <f ca="1">_xlfn.XLOOKUP(B57, Décomposition!H:H, Décomposition!J:J, 0,0,1)</f>
        <v>0</v>
      </c>
      <c r="E57" s="1152">
        <f ca="1">_xlfn.XLOOKUP(B57, Décomposition!H:H, Décomposition!I:I, 0,0,1)</f>
        <v>0</v>
      </c>
      <c r="F57" s="1153" cm="1">
        <f t="array" aca="1" ref="F57" ca="1">IFERROR(SUM((Décomposition!$H$4:$H$270='List of materials'!$B57)*Décomposition!$K$4:$K$270),0)</f>
        <v>0</v>
      </c>
      <c r="G57" s="158" cm="1">
        <f t="array" aca="1" ref="G57" ca="1">IF($D57=$G$1, IFERROR(SUM((Décomposition!$H$4:$H$270='List of materials'!$B57)*Décomposition!$K$4:$K$270),0), 0)</f>
        <v>0</v>
      </c>
      <c r="H57" cm="1">
        <f t="array" aca="1" ref="H57" ca="1">IF($D57=$H$1, IFERROR(SUM((Décomposition!$H$4:$H$270='List of materials'!$B57)*Décomposition!$K$4:$K$270),0), 0)</f>
        <v>0</v>
      </c>
      <c r="I57" t="e">
        <f t="shared" ca="1" si="5"/>
        <v>#N/A</v>
      </c>
      <c r="J57" t="e">
        <f ca="1">_xlfn.XLOOKUP(B57,'Baumaterialien Matériaux'!AD:AD,'Baumaterialien Matériaux'!F:F)</f>
        <v>#N/A</v>
      </c>
      <c r="Q57">
        <f t="shared" ca="1" si="0"/>
        <v>100.00000000000007</v>
      </c>
      <c r="R57">
        <f t="shared" si="1"/>
        <v>0</v>
      </c>
      <c r="S57" s="156">
        <f t="shared" si="3"/>
        <v>0</v>
      </c>
    </row>
    <row r="58" spans="2:19">
      <c r="B58" s="1151" cm="1">
        <f t="array" aca="1" ref="B58" ca="1">IFERROR(INDEX(Décomposition!H61:H330,MATCH(0,COUNTIF($B$1:B57,Décomposition!H61:H330),0)),-1)</f>
        <v>-1</v>
      </c>
      <c r="C58" s="158" cm="1">
        <f t="array" aca="1" ref="C58" ca="1">IFERROR(SUM((Décomposition!$H$4:$H$270='List of materials'!B58)*Décomposition!$T$4:$T$270),0)</f>
        <v>0</v>
      </c>
      <c r="D58" s="1152">
        <f ca="1">_xlfn.XLOOKUP(B58, Décomposition!H:H, Décomposition!J:J, 0,0,1)</f>
        <v>0</v>
      </c>
      <c r="E58" s="1152">
        <f ca="1">_xlfn.XLOOKUP(B58, Décomposition!H:H, Décomposition!I:I, 0,0,1)</f>
        <v>0</v>
      </c>
      <c r="F58" s="1153" cm="1">
        <f t="array" aca="1" ref="F58" ca="1">IFERROR(SUM((Décomposition!$H$4:$H$270='List of materials'!$B58)*Décomposition!$K$4:$K$270),0)</f>
        <v>0</v>
      </c>
      <c r="G58" s="158" cm="1">
        <f t="array" aca="1" ref="G58" ca="1">IF($D58=$G$1, IFERROR(SUM((Décomposition!$H$4:$H$270='List of materials'!$B58)*Décomposition!$K$4:$K$270),0), 0)</f>
        <v>0</v>
      </c>
      <c r="H58" cm="1">
        <f t="array" aca="1" ref="H58" ca="1">IF($D58=$H$1, IFERROR(SUM((Décomposition!$H$4:$H$270='List of materials'!$B58)*Décomposition!$K$4:$K$270),0), 0)</f>
        <v>0</v>
      </c>
      <c r="I58" t="e">
        <f t="shared" ca="1" si="5"/>
        <v>#N/A</v>
      </c>
      <c r="J58" t="e">
        <f ca="1">_xlfn.XLOOKUP(B58,'Baumaterialien Matériaux'!AD:AD,'Baumaterialien Matériaux'!F:F)</f>
        <v>#N/A</v>
      </c>
      <c r="Q58">
        <f t="shared" ca="1" si="0"/>
        <v>100.00000000000007</v>
      </c>
      <c r="R58">
        <f t="shared" si="1"/>
        <v>0</v>
      </c>
      <c r="S58" s="156">
        <f t="shared" si="3"/>
        <v>0</v>
      </c>
    </row>
    <row r="59" spans="2:19">
      <c r="B59" s="1151" cm="1">
        <f t="array" aca="1" ref="B59" ca="1">IFERROR(INDEX(Décomposition!H62:H331,MATCH(0,COUNTIF($B$1:B58,Décomposition!H62:H331),0)),-1)</f>
        <v>-1</v>
      </c>
      <c r="C59" s="158" cm="1">
        <f t="array" aca="1" ref="C59" ca="1">IFERROR(SUM((Décomposition!$H$4:$H$270='List of materials'!B59)*Décomposition!$T$4:$T$270),0)</f>
        <v>0</v>
      </c>
      <c r="D59" s="1152">
        <f ca="1">_xlfn.XLOOKUP(B59, Décomposition!H:H, Décomposition!J:J, 0,0,1)</f>
        <v>0</v>
      </c>
      <c r="E59" s="1152">
        <f ca="1">_xlfn.XLOOKUP(B59, Décomposition!H:H, Décomposition!I:I, 0,0,1)</f>
        <v>0</v>
      </c>
      <c r="F59" s="1153" cm="1">
        <f t="array" aca="1" ref="F59" ca="1">IFERROR(SUM((Décomposition!$H$4:$H$270='List of materials'!$B59)*Décomposition!$K$4:$K$270),0)</f>
        <v>0</v>
      </c>
      <c r="G59" s="158" cm="1">
        <f t="array" aca="1" ref="G59" ca="1">IF($D59=$G$1, IFERROR(SUM((Décomposition!$H$4:$H$270='List of materials'!$B59)*Décomposition!$K$4:$K$270),0), 0)</f>
        <v>0</v>
      </c>
      <c r="H59" cm="1">
        <f t="array" aca="1" ref="H59" ca="1">IF($D59=$H$1, IFERROR(SUM((Décomposition!$H$4:$H$270='List of materials'!$B59)*Décomposition!$K$4:$K$270),0), 0)</f>
        <v>0</v>
      </c>
      <c r="I59" t="e">
        <f t="shared" ca="1" si="5"/>
        <v>#N/A</v>
      </c>
      <c r="J59" t="e">
        <f ca="1">_xlfn.XLOOKUP(B59,'Baumaterialien Matériaux'!AD:AD,'Baumaterialien Matériaux'!F:F)</f>
        <v>#N/A</v>
      </c>
      <c r="Q59">
        <f t="shared" ca="1" si="0"/>
        <v>100.00000000000007</v>
      </c>
      <c r="R59">
        <f t="shared" si="1"/>
        <v>0</v>
      </c>
      <c r="S59" s="156">
        <f t="shared" si="3"/>
        <v>0</v>
      </c>
    </row>
    <row r="60" spans="2:19">
      <c r="B60" s="1151" cm="1">
        <f t="array" aca="1" ref="B60" ca="1">IFERROR(INDEX(Décomposition!H63:H332,MATCH(0,COUNTIF($B$1:B59,Décomposition!H63:H332),0)),-1)</f>
        <v>-1</v>
      </c>
      <c r="C60" s="158" cm="1">
        <f t="array" aca="1" ref="C60" ca="1">IFERROR(SUM((Décomposition!$H$4:$H$270='List of materials'!B60)*Décomposition!$T$4:$T$270),0)</f>
        <v>0</v>
      </c>
      <c r="D60" s="1152">
        <f ca="1">_xlfn.XLOOKUP(B60, Décomposition!H:H, Décomposition!J:J, 0,0,1)</f>
        <v>0</v>
      </c>
      <c r="E60" s="1152">
        <f ca="1">_xlfn.XLOOKUP(B60, Décomposition!H:H, Décomposition!I:I, 0,0,1)</f>
        <v>0</v>
      </c>
      <c r="F60" s="1153" cm="1">
        <f t="array" aca="1" ref="F60" ca="1">IFERROR(SUM((Décomposition!$H$4:$H$270='List of materials'!$B60)*Décomposition!$K$4:$K$270),0)</f>
        <v>0</v>
      </c>
      <c r="G60" s="158" cm="1">
        <f t="array" aca="1" ref="G60" ca="1">IF($D60=$G$1, IFERROR(SUM((Décomposition!$H$4:$H$270='List of materials'!$B60)*Décomposition!$K$4:$K$270),0), 0)</f>
        <v>0</v>
      </c>
      <c r="H60" cm="1">
        <f t="array" aca="1" ref="H60" ca="1">IF($D60=$H$1, IFERROR(SUM((Décomposition!$H$4:$H$270='List of materials'!$B60)*Décomposition!$K$4:$K$270),0), 0)</f>
        <v>0</v>
      </c>
      <c r="I60" t="e">
        <f t="shared" ca="1" si="5"/>
        <v>#N/A</v>
      </c>
      <c r="J60" t="e">
        <f ca="1">_xlfn.XLOOKUP(B60,'Baumaterialien Matériaux'!AD:AD,'Baumaterialien Matériaux'!F:F)</f>
        <v>#N/A</v>
      </c>
      <c r="Q60">
        <f t="shared" ca="1" si="0"/>
        <v>100.00000000000007</v>
      </c>
      <c r="R60">
        <f t="shared" si="1"/>
        <v>0</v>
      </c>
      <c r="S60" s="156">
        <f t="shared" si="3"/>
        <v>0</v>
      </c>
    </row>
    <row r="61" spans="2:19">
      <c r="B61" s="1151" cm="1">
        <f t="array" aca="1" ref="B61" ca="1">IFERROR(INDEX(Décomposition!H64:H333,MATCH(0,COUNTIF($B$1:B60,Décomposition!H64:H333),0)),-1)</f>
        <v>-1</v>
      </c>
      <c r="C61" s="158" cm="1">
        <f t="array" aca="1" ref="C61" ca="1">IFERROR(SUM((Décomposition!$H$4:$H$270='List of materials'!B61)*Décomposition!$T$4:$T$270),0)</f>
        <v>0</v>
      </c>
      <c r="D61" s="1152">
        <f ca="1">_xlfn.XLOOKUP(B61, Décomposition!H:H, Décomposition!J:J, 0,0,1)</f>
        <v>0</v>
      </c>
      <c r="E61" s="1152">
        <f ca="1">_xlfn.XLOOKUP(B61, Décomposition!H:H, Décomposition!I:I, 0,0,1)</f>
        <v>0</v>
      </c>
      <c r="F61" s="1153" cm="1">
        <f t="array" aca="1" ref="F61" ca="1">IFERROR(SUM((Décomposition!$H$4:$H$270='List of materials'!$B61)*Décomposition!$K$4:$K$270),0)</f>
        <v>0</v>
      </c>
      <c r="G61" s="158" cm="1">
        <f t="array" aca="1" ref="G61" ca="1">IF($D61=$G$1, IFERROR(SUM((Décomposition!$H$4:$H$270='List of materials'!$B61)*Décomposition!$K$4:$K$270),0), 0)</f>
        <v>0</v>
      </c>
      <c r="H61" cm="1">
        <f t="array" aca="1" ref="H61" ca="1">IF($D61=$H$1, IFERROR(SUM((Décomposition!$H$4:$H$270='List of materials'!$B61)*Décomposition!$K$4:$K$270),0), 0)</f>
        <v>0</v>
      </c>
      <c r="I61" t="e">
        <f t="shared" ca="1" si="5"/>
        <v>#N/A</v>
      </c>
      <c r="J61" t="e">
        <f ca="1">_xlfn.XLOOKUP(B61,'Baumaterialien Matériaux'!AD:AD,'Baumaterialien Matériaux'!F:F)</f>
        <v>#N/A</v>
      </c>
      <c r="Q61">
        <f t="shared" ca="1" si="0"/>
        <v>100.00000000000007</v>
      </c>
      <c r="R61">
        <f t="shared" si="1"/>
        <v>0</v>
      </c>
      <c r="S61" s="156">
        <f t="shared" si="3"/>
        <v>0</v>
      </c>
    </row>
    <row r="62" spans="2:19">
      <c r="B62" s="1151" cm="1">
        <f t="array" aca="1" ref="B62" ca="1">IFERROR(INDEX(Décomposition!H65:H334,MATCH(0,COUNTIF($B$1:B61,Décomposition!H65:H334),0)),-1)</f>
        <v>-1</v>
      </c>
      <c r="C62" s="158" cm="1">
        <f t="array" aca="1" ref="C62" ca="1">IFERROR(SUM((Décomposition!$H$4:$H$270='List of materials'!B62)*Décomposition!$T$4:$T$270),0)</f>
        <v>0</v>
      </c>
      <c r="D62" s="1152">
        <f ca="1">_xlfn.XLOOKUP(B62, Décomposition!H:H, Décomposition!J:J, 0,0,1)</f>
        <v>0</v>
      </c>
      <c r="E62" s="1152">
        <f ca="1">_xlfn.XLOOKUP(B62, Décomposition!H:H, Décomposition!I:I, 0,0,1)</f>
        <v>0</v>
      </c>
      <c r="F62" s="1153" cm="1">
        <f t="array" aca="1" ref="F62" ca="1">IFERROR(SUM((Décomposition!$H$4:$H$270='List of materials'!$B62)*Décomposition!$K$4:$K$270),0)</f>
        <v>0</v>
      </c>
      <c r="G62" s="158" cm="1">
        <f t="array" aca="1" ref="G62" ca="1">IF($D62=$G$1, IFERROR(SUM((Décomposition!$H$4:$H$270='List of materials'!$B62)*Décomposition!$K$4:$K$270),0), 0)</f>
        <v>0</v>
      </c>
      <c r="H62" cm="1">
        <f t="array" aca="1" ref="H62" ca="1">IF($D62=$H$1, IFERROR(SUM((Décomposition!$H$4:$H$270='List of materials'!$B62)*Décomposition!$K$4:$K$270),0), 0)</f>
        <v>0</v>
      </c>
      <c r="I62" t="e">
        <f t="shared" ca="1" si="5"/>
        <v>#N/A</v>
      </c>
      <c r="J62" t="e">
        <f ca="1">_xlfn.XLOOKUP(B62,'Baumaterialien Matériaux'!AD:AD,'Baumaterialien Matériaux'!F:F)</f>
        <v>#N/A</v>
      </c>
      <c r="Q62">
        <f t="shared" ca="1" si="0"/>
        <v>100.00000000000007</v>
      </c>
      <c r="R62">
        <f t="shared" si="1"/>
        <v>0</v>
      </c>
      <c r="S62" s="156">
        <f t="shared" si="3"/>
        <v>0</v>
      </c>
    </row>
    <row r="63" spans="2:19">
      <c r="B63" s="1151" cm="1">
        <f t="array" aca="1" ref="B63" ca="1">IFERROR(INDEX(Décomposition!H66:H335,MATCH(0,COUNTIF($B$1:B62,Décomposition!H66:H335),0)),-1)</f>
        <v>-1</v>
      </c>
      <c r="C63" s="158" cm="1">
        <f t="array" aca="1" ref="C63" ca="1">IFERROR(SUM((Décomposition!$H$4:$H$270='List of materials'!B63)*Décomposition!$T$4:$T$270),0)</f>
        <v>0</v>
      </c>
      <c r="D63" s="1152">
        <f ca="1">_xlfn.XLOOKUP(B63, Décomposition!H:H, Décomposition!J:J, 0,0,1)</f>
        <v>0</v>
      </c>
      <c r="E63" s="1152">
        <f ca="1">_xlfn.XLOOKUP(B63, Décomposition!H:H, Décomposition!I:I, 0,0,1)</f>
        <v>0</v>
      </c>
      <c r="F63" s="1153" cm="1">
        <f t="array" aca="1" ref="F63" ca="1">IFERROR(SUM((Décomposition!$H$4:$H$270='List of materials'!$B63)*Décomposition!$K$4:$K$270),0)</f>
        <v>0</v>
      </c>
      <c r="G63" s="158" cm="1">
        <f t="array" aca="1" ref="G63" ca="1">IF($D63=$G$1, IFERROR(SUM((Décomposition!$H$4:$H$270='List of materials'!$B63)*Décomposition!$K$4:$K$270),0), 0)</f>
        <v>0</v>
      </c>
      <c r="H63" cm="1">
        <f t="array" aca="1" ref="H63" ca="1">IF($D63=$H$1, IFERROR(SUM((Décomposition!$H$4:$H$270='List of materials'!$B63)*Décomposition!$K$4:$K$270),0), 0)</f>
        <v>0</v>
      </c>
      <c r="I63" t="e">
        <f t="shared" ca="1" si="5"/>
        <v>#N/A</v>
      </c>
      <c r="J63" t="e">
        <f ca="1">_xlfn.XLOOKUP(B63,'Baumaterialien Matériaux'!AD:AD,'Baumaterialien Matériaux'!F:F)</f>
        <v>#N/A</v>
      </c>
      <c r="Q63">
        <f t="shared" ca="1" si="0"/>
        <v>100.00000000000007</v>
      </c>
      <c r="R63">
        <f t="shared" si="1"/>
        <v>0</v>
      </c>
      <c r="S63" s="156">
        <f t="shared" si="3"/>
        <v>0</v>
      </c>
    </row>
    <row r="64" spans="2:19">
      <c r="B64" s="1151" cm="1">
        <f t="array" aca="1" ref="B64" ca="1">IFERROR(INDEX(Décomposition!H67:H336,MATCH(0,COUNTIF($B$1:B63,Décomposition!H67:H336),0)),-1)</f>
        <v>-1</v>
      </c>
      <c r="C64" s="158" cm="1">
        <f t="array" aca="1" ref="C64" ca="1">IFERROR(SUM((Décomposition!$H$4:$H$270='List of materials'!B64)*Décomposition!$T$4:$T$270),0)</f>
        <v>0</v>
      </c>
      <c r="D64" s="1152">
        <f ca="1">_xlfn.XLOOKUP(B64, Décomposition!H:H, Décomposition!J:J, 0,0,1)</f>
        <v>0</v>
      </c>
      <c r="E64" s="1152">
        <f ca="1">_xlfn.XLOOKUP(B64, Décomposition!H:H, Décomposition!I:I, 0,0,1)</f>
        <v>0</v>
      </c>
      <c r="F64" s="1153" cm="1">
        <f t="array" aca="1" ref="F64" ca="1">IFERROR(SUM((Décomposition!$H$4:$H$270='List of materials'!$B64)*Décomposition!$K$4:$K$270),0)</f>
        <v>0</v>
      </c>
      <c r="G64" s="158" cm="1">
        <f t="array" aca="1" ref="G64" ca="1">IF($D64=$G$1, IFERROR(SUM((Décomposition!$H$4:$H$270='List of materials'!$B64)*Décomposition!$K$4:$K$270),0), 0)</f>
        <v>0</v>
      </c>
      <c r="H64" cm="1">
        <f t="array" aca="1" ref="H64" ca="1">IF($D64=$H$1, IFERROR(SUM((Décomposition!$H$4:$H$270='List of materials'!$B64)*Décomposition!$K$4:$K$270),0), 0)</f>
        <v>0</v>
      </c>
      <c r="I64" t="e">
        <f t="shared" ca="1" si="5"/>
        <v>#N/A</v>
      </c>
      <c r="J64" t="e">
        <f ca="1">_xlfn.XLOOKUP(B64,'Baumaterialien Matériaux'!AD:AD,'Baumaterialien Matériaux'!F:F)</f>
        <v>#N/A</v>
      </c>
      <c r="Q64">
        <f t="shared" ca="1" si="0"/>
        <v>100.00000000000007</v>
      </c>
      <c r="R64">
        <f t="shared" si="1"/>
        <v>0</v>
      </c>
      <c r="S64" s="156">
        <f t="shared" si="3"/>
        <v>0</v>
      </c>
    </row>
    <row r="65" spans="2:19">
      <c r="B65" s="1151" cm="1">
        <f t="array" aca="1" ref="B65" ca="1">IFERROR(INDEX(Décomposition!H68:H337,MATCH(0,COUNTIF($B$1:B64,Décomposition!H68:H337),0)),-1)</f>
        <v>-1</v>
      </c>
      <c r="C65" s="158" cm="1">
        <f t="array" aca="1" ref="C65" ca="1">IFERROR(SUM((Décomposition!$H$4:$H$270='List of materials'!B65)*Décomposition!$T$4:$T$270),0)</f>
        <v>0</v>
      </c>
      <c r="D65" s="1152">
        <f ca="1">_xlfn.XLOOKUP(B65, Décomposition!H:H, Décomposition!J:J, 0,0,1)</f>
        <v>0</v>
      </c>
      <c r="E65" s="1152">
        <f ca="1">_xlfn.XLOOKUP(B65, Décomposition!H:H, Décomposition!I:I, 0,0,1)</f>
        <v>0</v>
      </c>
      <c r="F65" s="1153" cm="1">
        <f t="array" aca="1" ref="F65" ca="1">IFERROR(SUM((Décomposition!$H$4:$H$270='List of materials'!$B65)*Décomposition!$K$4:$K$270),0)</f>
        <v>0</v>
      </c>
      <c r="G65" s="158" cm="1">
        <f t="array" aca="1" ref="G65" ca="1">IF($D65=$G$1, IFERROR(SUM((Décomposition!$H$4:$H$270='List of materials'!$B65)*Décomposition!$K$4:$K$270),0), 0)</f>
        <v>0</v>
      </c>
      <c r="H65" cm="1">
        <f t="array" aca="1" ref="H65" ca="1">IF($D65=$H$1, IFERROR(SUM((Décomposition!$H$4:$H$270='List of materials'!$B65)*Décomposition!$K$4:$K$270),0), 0)</f>
        <v>0</v>
      </c>
      <c r="I65" t="e">
        <f t="shared" ca="1" si="5"/>
        <v>#N/A</v>
      </c>
      <c r="J65" t="e">
        <f ca="1">_xlfn.XLOOKUP(B65,'Baumaterialien Matériaux'!AD:AD,'Baumaterialien Matériaux'!F:F)</f>
        <v>#N/A</v>
      </c>
      <c r="Q65">
        <f t="shared" ca="1" si="0"/>
        <v>100.00000000000007</v>
      </c>
      <c r="R65">
        <f t="shared" si="1"/>
        <v>0</v>
      </c>
      <c r="S65" s="156">
        <f t="shared" si="3"/>
        <v>0</v>
      </c>
    </row>
    <row r="66" spans="2:19">
      <c r="B66" s="1151" cm="1">
        <f t="array" aca="1" ref="B66" ca="1">IFERROR(INDEX(Décomposition!H69:H338,MATCH(0,COUNTIF($B$1:B65,Décomposition!H69:H338),0)),-1)</f>
        <v>-1</v>
      </c>
      <c r="C66" s="158" cm="1">
        <f t="array" aca="1" ref="C66" ca="1">IFERROR(SUM((Décomposition!$H$4:$H$270='List of materials'!B66)*Décomposition!$T$4:$T$270),0)</f>
        <v>0</v>
      </c>
      <c r="D66" s="1152">
        <f ca="1">_xlfn.XLOOKUP(B66, Décomposition!H:H, Décomposition!J:J, 0,0,1)</f>
        <v>0</v>
      </c>
      <c r="E66" s="1152">
        <f ca="1">_xlfn.XLOOKUP(B66, Décomposition!H:H, Décomposition!I:I, 0,0,1)</f>
        <v>0</v>
      </c>
      <c r="F66" s="1153" cm="1">
        <f t="array" aca="1" ref="F66" ca="1">IFERROR(SUM((Décomposition!$H$4:$H$270='List of materials'!$B66)*Décomposition!$K$4:$K$270),0)</f>
        <v>0</v>
      </c>
      <c r="G66" s="158" cm="1">
        <f t="array" aca="1" ref="G66" ca="1">IF($D66=$G$1, IFERROR(SUM((Décomposition!$H$4:$H$270='List of materials'!$B66)*Décomposition!$K$4:$K$270),0), 0)</f>
        <v>0</v>
      </c>
      <c r="H66" cm="1">
        <f t="array" aca="1" ref="H66" ca="1">IF($D66=$H$1, IFERROR(SUM((Décomposition!$H$4:$H$270='List of materials'!$B66)*Décomposition!$K$4:$K$270),0), 0)</f>
        <v>0</v>
      </c>
      <c r="I66" t="e">
        <f t="shared" ca="1" si="5"/>
        <v>#N/A</v>
      </c>
      <c r="J66" t="e">
        <f ca="1">_xlfn.XLOOKUP(B66,'Baumaterialien Matériaux'!AD:AD,'Baumaterialien Matériaux'!F:F)</f>
        <v>#N/A</v>
      </c>
      <c r="Q66">
        <f t="shared" ca="1" si="0"/>
        <v>100.00000000000007</v>
      </c>
      <c r="R66">
        <f t="shared" si="1"/>
        <v>0</v>
      </c>
      <c r="S66" s="156">
        <f t="shared" si="3"/>
        <v>0</v>
      </c>
    </row>
    <row r="67" spans="2:19">
      <c r="B67" s="1151" cm="1">
        <f t="array" aca="1" ref="B67" ca="1">IFERROR(INDEX(Décomposition!H70:H339,MATCH(0,COUNTIF($B$1:B66,Décomposition!H70:H339),0)),-1)</f>
        <v>-1</v>
      </c>
      <c r="C67" s="158" cm="1">
        <f t="array" aca="1" ref="C67" ca="1">IFERROR(SUM((Décomposition!$H$4:$H$270='List of materials'!B67)*Décomposition!$T$4:$T$270),0)</f>
        <v>0</v>
      </c>
      <c r="D67" s="1152">
        <f ca="1">_xlfn.XLOOKUP(B67, Décomposition!H:H, Décomposition!J:J, 0,0,1)</f>
        <v>0</v>
      </c>
      <c r="E67" s="1152">
        <f ca="1">_xlfn.XLOOKUP(B67, Décomposition!H:H, Décomposition!I:I, 0,0,1)</f>
        <v>0</v>
      </c>
      <c r="F67" s="1153" cm="1">
        <f t="array" aca="1" ref="F67" ca="1">IFERROR(SUM((Décomposition!$H$4:$H$270='List of materials'!$B67)*Décomposition!$K$4:$K$270),0)</f>
        <v>0</v>
      </c>
      <c r="G67" s="158" cm="1">
        <f t="array" aca="1" ref="G67" ca="1">IF($D67=$G$1, IFERROR(SUM((Décomposition!$H$4:$H$270='List of materials'!$B67)*Décomposition!$K$4:$K$270),0), 0)</f>
        <v>0</v>
      </c>
      <c r="H67" cm="1">
        <f t="array" aca="1" ref="H67" ca="1">IF($D67=$H$1, IFERROR(SUM((Décomposition!$H$4:$H$270='List of materials'!$B67)*Décomposition!$K$4:$K$270),0), 0)</f>
        <v>0</v>
      </c>
      <c r="I67" t="e">
        <f t="shared" ca="1" si="5"/>
        <v>#N/A</v>
      </c>
      <c r="J67" t="e">
        <f ca="1">_xlfn.XLOOKUP(B67,'Baumaterialien Matériaux'!AD:AD,'Baumaterialien Matériaux'!F:F)</f>
        <v>#N/A</v>
      </c>
      <c r="Q67">
        <f t="shared" ref="Q67:Q130" ca="1" si="6">(M67/P$2*100+Q66)</f>
        <v>100.00000000000007</v>
      </c>
      <c r="R67">
        <f t="shared" ref="R67:R130" si="7">IF(N67="kg",1,_xlfn.XLOOKUP(L67,Z:Z,AA:AA,0))</f>
        <v>0</v>
      </c>
      <c r="S67" s="156">
        <f t="shared" si="3"/>
        <v>0</v>
      </c>
    </row>
    <row r="68" spans="2:19">
      <c r="B68" s="1151" cm="1">
        <f t="array" aca="1" ref="B68" ca="1">IFERROR(INDEX(Décomposition!H71:H340,MATCH(0,COUNTIF($B$1:B67,Décomposition!H71:H340),0)),-1)</f>
        <v>-1</v>
      </c>
      <c r="C68" s="158" cm="1">
        <f t="array" aca="1" ref="C68" ca="1">IFERROR(SUM((Décomposition!$H$4:$H$270='List of materials'!B68)*Décomposition!$T$4:$T$270),0)</f>
        <v>0</v>
      </c>
      <c r="D68" s="1152">
        <f ca="1">_xlfn.XLOOKUP(B68, Décomposition!H:H, Décomposition!J:J, 0,0,1)</f>
        <v>0</v>
      </c>
      <c r="E68" s="1152">
        <f ca="1">_xlfn.XLOOKUP(B68, Décomposition!H:H, Décomposition!I:I, 0,0,1)</f>
        <v>0</v>
      </c>
      <c r="F68" s="1153" cm="1">
        <f t="array" aca="1" ref="F68" ca="1">IFERROR(SUM((Décomposition!$H$4:$H$270='List of materials'!$B68)*Décomposition!$K$4:$K$270),0)</f>
        <v>0</v>
      </c>
      <c r="G68" s="158" cm="1">
        <f t="array" aca="1" ref="G68" ca="1">IF($D68=$G$1, IFERROR(SUM((Décomposition!$H$4:$H$270='List of materials'!$B68)*Décomposition!$K$4:$K$270),0), 0)</f>
        <v>0</v>
      </c>
      <c r="H68" cm="1">
        <f t="array" aca="1" ref="H68" ca="1">IF($D68=$H$1, IFERROR(SUM((Décomposition!$H$4:$H$270='List of materials'!$B68)*Décomposition!$K$4:$K$270),0), 0)</f>
        <v>0</v>
      </c>
      <c r="I68" t="e">
        <f t="shared" ca="1" si="5"/>
        <v>#N/A</v>
      </c>
      <c r="J68" t="e">
        <f ca="1">_xlfn.XLOOKUP(B68,'Baumaterialien Matériaux'!AD:AD,'Baumaterialien Matériaux'!F:F)</f>
        <v>#N/A</v>
      </c>
      <c r="Q68">
        <f t="shared" ca="1" si="6"/>
        <v>100.00000000000007</v>
      </c>
      <c r="R68">
        <f t="shared" si="7"/>
        <v>0</v>
      </c>
      <c r="S68" s="156">
        <f t="shared" ref="S68:S131" si="8">O68*R68/1000</f>
        <v>0</v>
      </c>
    </row>
    <row r="69" spans="2:19">
      <c r="B69" s="1151" cm="1">
        <f t="array" aca="1" ref="B69" ca="1">IFERROR(INDEX(Décomposition!H72:H341,MATCH(0,COUNTIF($B$1:B68,Décomposition!H72:H341),0)),-1)</f>
        <v>-1</v>
      </c>
      <c r="C69" s="158" cm="1">
        <f t="array" aca="1" ref="C69" ca="1">IFERROR(SUM((Décomposition!$H$4:$H$270='List of materials'!B69)*Décomposition!$T$4:$T$270),0)</f>
        <v>0</v>
      </c>
      <c r="D69" s="1152">
        <f ca="1">_xlfn.XLOOKUP(B69, Décomposition!H:H, Décomposition!J:J, 0,0,1)</f>
        <v>0</v>
      </c>
      <c r="E69" s="1152">
        <f ca="1">_xlfn.XLOOKUP(B69, Décomposition!H:H, Décomposition!I:I, 0,0,1)</f>
        <v>0</v>
      </c>
      <c r="F69" s="1153" cm="1">
        <f t="array" aca="1" ref="F69" ca="1">IFERROR(SUM((Décomposition!$H$4:$H$270='List of materials'!$B69)*Décomposition!$K$4:$K$270),0)</f>
        <v>0</v>
      </c>
      <c r="G69" s="158" cm="1">
        <f t="array" aca="1" ref="G69" ca="1">IF($D69=$G$1, IFERROR(SUM((Décomposition!$H$4:$H$270='List of materials'!$B69)*Décomposition!$K$4:$K$270),0), 0)</f>
        <v>0</v>
      </c>
      <c r="H69" cm="1">
        <f t="array" aca="1" ref="H69" ca="1">IF($D69=$H$1, IFERROR(SUM((Décomposition!$H$4:$H$270='List of materials'!$B69)*Décomposition!$K$4:$K$270),0), 0)</f>
        <v>0</v>
      </c>
      <c r="I69" t="e">
        <f t="shared" ca="1" si="5"/>
        <v>#N/A</v>
      </c>
      <c r="J69" t="e">
        <f ca="1">_xlfn.XLOOKUP(B69,'Baumaterialien Matériaux'!AD:AD,'Baumaterialien Matériaux'!F:F)</f>
        <v>#N/A</v>
      </c>
      <c r="Q69">
        <f t="shared" ca="1" si="6"/>
        <v>100.00000000000007</v>
      </c>
      <c r="R69">
        <f t="shared" si="7"/>
        <v>0</v>
      </c>
      <c r="S69" s="156">
        <f t="shared" si="8"/>
        <v>0</v>
      </c>
    </row>
    <row r="70" spans="2:19">
      <c r="B70" s="1151"/>
      <c r="Q70">
        <f t="shared" ca="1" si="6"/>
        <v>100.00000000000007</v>
      </c>
      <c r="R70">
        <f t="shared" si="7"/>
        <v>0</v>
      </c>
      <c r="S70" s="156">
        <f t="shared" si="8"/>
        <v>0</v>
      </c>
    </row>
    <row r="71" spans="2:19">
      <c r="B71" s="1151"/>
      <c r="Q71">
        <f t="shared" ca="1" si="6"/>
        <v>100.00000000000007</v>
      </c>
      <c r="R71">
        <f t="shared" si="7"/>
        <v>0</v>
      </c>
      <c r="S71" s="156">
        <f t="shared" si="8"/>
        <v>0</v>
      </c>
    </row>
    <row r="72" spans="2:19">
      <c r="B72" s="1151"/>
      <c r="Q72">
        <f t="shared" ca="1" si="6"/>
        <v>100.00000000000007</v>
      </c>
      <c r="R72">
        <f t="shared" si="7"/>
        <v>0</v>
      </c>
      <c r="S72" s="156">
        <f t="shared" si="8"/>
        <v>0</v>
      </c>
    </row>
    <row r="73" spans="2:19">
      <c r="B73" s="1151"/>
      <c r="Q73">
        <f t="shared" ca="1" si="6"/>
        <v>100.00000000000007</v>
      </c>
      <c r="R73">
        <f t="shared" si="7"/>
        <v>0</v>
      </c>
      <c r="S73" s="156">
        <f t="shared" si="8"/>
        <v>0</v>
      </c>
    </row>
    <row r="74" spans="2:19">
      <c r="B74" s="1151"/>
      <c r="Q74">
        <f t="shared" ca="1" si="6"/>
        <v>100.00000000000007</v>
      </c>
      <c r="R74">
        <f t="shared" si="7"/>
        <v>0</v>
      </c>
      <c r="S74" s="156">
        <f t="shared" si="8"/>
        <v>0</v>
      </c>
    </row>
    <row r="75" spans="2:19">
      <c r="B75" s="1151"/>
      <c r="Q75">
        <f t="shared" ca="1" si="6"/>
        <v>100.00000000000007</v>
      </c>
      <c r="R75">
        <f t="shared" si="7"/>
        <v>0</v>
      </c>
      <c r="S75" s="156">
        <f t="shared" si="8"/>
        <v>0</v>
      </c>
    </row>
    <row r="76" spans="2:19">
      <c r="B76" s="1151"/>
      <c r="Q76">
        <f t="shared" ca="1" si="6"/>
        <v>100.00000000000007</v>
      </c>
      <c r="R76">
        <f t="shared" si="7"/>
        <v>0</v>
      </c>
      <c r="S76" s="156">
        <f t="shared" si="8"/>
        <v>0</v>
      </c>
    </row>
    <row r="77" spans="2:19">
      <c r="B77" s="1151"/>
      <c r="Q77">
        <f t="shared" ca="1" si="6"/>
        <v>100.00000000000007</v>
      </c>
      <c r="R77">
        <f t="shared" si="7"/>
        <v>0</v>
      </c>
      <c r="S77" s="156">
        <f t="shared" si="8"/>
        <v>0</v>
      </c>
    </row>
    <row r="78" spans="2:19">
      <c r="B78" s="1151"/>
      <c r="Q78">
        <f t="shared" ca="1" si="6"/>
        <v>100.00000000000007</v>
      </c>
      <c r="R78">
        <f t="shared" si="7"/>
        <v>0</v>
      </c>
      <c r="S78" s="156">
        <f t="shared" si="8"/>
        <v>0</v>
      </c>
    </row>
    <row r="79" spans="2:19">
      <c r="B79" s="1151"/>
      <c r="Q79">
        <f t="shared" ca="1" si="6"/>
        <v>100.00000000000007</v>
      </c>
      <c r="R79">
        <f t="shared" si="7"/>
        <v>0</v>
      </c>
      <c r="S79" s="156">
        <f t="shared" si="8"/>
        <v>0</v>
      </c>
    </row>
    <row r="80" spans="2:19">
      <c r="B80" s="1151"/>
      <c r="Q80">
        <f t="shared" ca="1" si="6"/>
        <v>100.00000000000007</v>
      </c>
      <c r="R80">
        <f t="shared" si="7"/>
        <v>0</v>
      </c>
      <c r="S80" s="156">
        <f t="shared" si="8"/>
        <v>0</v>
      </c>
    </row>
    <row r="81" spans="2:19">
      <c r="B81" s="1151"/>
      <c r="Q81">
        <f t="shared" ca="1" si="6"/>
        <v>100.00000000000007</v>
      </c>
      <c r="R81">
        <f t="shared" si="7"/>
        <v>0</v>
      </c>
      <c r="S81" s="156">
        <f t="shared" si="8"/>
        <v>0</v>
      </c>
    </row>
    <row r="82" spans="2:19">
      <c r="B82" s="1151"/>
      <c r="Q82">
        <f t="shared" ca="1" si="6"/>
        <v>100.00000000000007</v>
      </c>
      <c r="R82">
        <f t="shared" si="7"/>
        <v>0</v>
      </c>
      <c r="S82" s="156">
        <f t="shared" si="8"/>
        <v>0</v>
      </c>
    </row>
    <row r="83" spans="2:19">
      <c r="B83" s="1151"/>
      <c r="Q83">
        <f t="shared" ca="1" si="6"/>
        <v>100.00000000000007</v>
      </c>
      <c r="R83">
        <f t="shared" si="7"/>
        <v>0</v>
      </c>
      <c r="S83" s="156">
        <f t="shared" si="8"/>
        <v>0</v>
      </c>
    </row>
    <row r="84" spans="2:19">
      <c r="B84" s="1151"/>
      <c r="Q84">
        <f t="shared" ca="1" si="6"/>
        <v>100.00000000000007</v>
      </c>
      <c r="R84">
        <f t="shared" si="7"/>
        <v>0</v>
      </c>
      <c r="S84" s="156">
        <f t="shared" si="8"/>
        <v>0</v>
      </c>
    </row>
    <row r="85" spans="2:19">
      <c r="B85" s="1151"/>
      <c r="Q85">
        <f t="shared" ca="1" si="6"/>
        <v>100.00000000000007</v>
      </c>
      <c r="R85">
        <f t="shared" si="7"/>
        <v>0</v>
      </c>
      <c r="S85" s="156">
        <f t="shared" si="8"/>
        <v>0</v>
      </c>
    </row>
    <row r="86" spans="2:19">
      <c r="B86" s="1151"/>
      <c r="Q86">
        <f t="shared" ca="1" si="6"/>
        <v>100.00000000000007</v>
      </c>
      <c r="R86">
        <f t="shared" si="7"/>
        <v>0</v>
      </c>
      <c r="S86" s="156">
        <f t="shared" si="8"/>
        <v>0</v>
      </c>
    </row>
    <row r="87" spans="2:19">
      <c r="B87" s="1151"/>
      <c r="Q87">
        <f t="shared" ca="1" si="6"/>
        <v>100.00000000000007</v>
      </c>
      <c r="R87">
        <f t="shared" si="7"/>
        <v>0</v>
      </c>
      <c r="S87" s="156">
        <f t="shared" si="8"/>
        <v>0</v>
      </c>
    </row>
    <row r="88" spans="2:19">
      <c r="B88" s="1151"/>
      <c r="Q88">
        <f t="shared" ca="1" si="6"/>
        <v>100.00000000000007</v>
      </c>
      <c r="R88">
        <f t="shared" si="7"/>
        <v>0</v>
      </c>
      <c r="S88" s="156">
        <f t="shared" si="8"/>
        <v>0</v>
      </c>
    </row>
    <row r="89" spans="2:19">
      <c r="B89" s="1151"/>
      <c r="Q89">
        <f t="shared" ca="1" si="6"/>
        <v>100.00000000000007</v>
      </c>
      <c r="R89">
        <f t="shared" si="7"/>
        <v>0</v>
      </c>
      <c r="S89" s="156">
        <f t="shared" si="8"/>
        <v>0</v>
      </c>
    </row>
    <row r="90" spans="2:19">
      <c r="B90" s="1151"/>
      <c r="Q90">
        <f t="shared" ca="1" si="6"/>
        <v>100.00000000000007</v>
      </c>
      <c r="R90">
        <f t="shared" si="7"/>
        <v>0</v>
      </c>
      <c r="S90" s="156">
        <f t="shared" si="8"/>
        <v>0</v>
      </c>
    </row>
    <row r="91" spans="2:19">
      <c r="B91" s="1151"/>
      <c r="Q91">
        <f t="shared" ca="1" si="6"/>
        <v>100.00000000000007</v>
      </c>
      <c r="R91">
        <f t="shared" si="7"/>
        <v>0</v>
      </c>
      <c r="S91" s="156">
        <f t="shared" si="8"/>
        <v>0</v>
      </c>
    </row>
    <row r="92" spans="2:19">
      <c r="B92" s="1151"/>
      <c r="Q92">
        <f t="shared" ca="1" si="6"/>
        <v>100.00000000000007</v>
      </c>
      <c r="R92">
        <f t="shared" si="7"/>
        <v>0</v>
      </c>
      <c r="S92" s="156">
        <f t="shared" si="8"/>
        <v>0</v>
      </c>
    </row>
    <row r="93" spans="2:19">
      <c r="B93" s="1151"/>
      <c r="Q93">
        <f t="shared" ca="1" si="6"/>
        <v>100.00000000000007</v>
      </c>
      <c r="R93">
        <f t="shared" si="7"/>
        <v>0</v>
      </c>
      <c r="S93" s="156">
        <f t="shared" si="8"/>
        <v>0</v>
      </c>
    </row>
    <row r="94" spans="2:19">
      <c r="B94" s="1151"/>
      <c r="Q94">
        <f t="shared" ca="1" si="6"/>
        <v>100.00000000000007</v>
      </c>
      <c r="R94">
        <f t="shared" si="7"/>
        <v>0</v>
      </c>
      <c r="S94" s="156">
        <f t="shared" si="8"/>
        <v>0</v>
      </c>
    </row>
    <row r="95" spans="2:19">
      <c r="B95" s="1151"/>
      <c r="Q95">
        <f t="shared" ca="1" si="6"/>
        <v>100.00000000000007</v>
      </c>
      <c r="R95">
        <f t="shared" si="7"/>
        <v>0</v>
      </c>
      <c r="S95" s="156">
        <f t="shared" si="8"/>
        <v>0</v>
      </c>
    </row>
    <row r="96" spans="2:19">
      <c r="B96" s="1151"/>
      <c r="Q96">
        <f t="shared" ca="1" si="6"/>
        <v>100.00000000000007</v>
      </c>
      <c r="R96">
        <f t="shared" si="7"/>
        <v>0</v>
      </c>
      <c r="S96" s="156">
        <f t="shared" si="8"/>
        <v>0</v>
      </c>
    </row>
    <row r="97" spans="2:19">
      <c r="B97" s="1151"/>
      <c r="Q97">
        <f t="shared" ca="1" si="6"/>
        <v>100.00000000000007</v>
      </c>
      <c r="R97">
        <f t="shared" si="7"/>
        <v>0</v>
      </c>
      <c r="S97" s="156">
        <f t="shared" si="8"/>
        <v>0</v>
      </c>
    </row>
    <row r="98" spans="2:19">
      <c r="B98" s="1151"/>
      <c r="Q98">
        <f t="shared" ca="1" si="6"/>
        <v>100.00000000000007</v>
      </c>
      <c r="R98">
        <f t="shared" si="7"/>
        <v>0</v>
      </c>
      <c r="S98" s="156">
        <f t="shared" si="8"/>
        <v>0</v>
      </c>
    </row>
    <row r="99" spans="2:19">
      <c r="B99" s="1151"/>
      <c r="Q99">
        <f t="shared" ca="1" si="6"/>
        <v>100.00000000000007</v>
      </c>
      <c r="R99">
        <f t="shared" si="7"/>
        <v>0</v>
      </c>
      <c r="S99" s="156">
        <f t="shared" si="8"/>
        <v>0</v>
      </c>
    </row>
    <row r="100" spans="2:19">
      <c r="B100" s="1151"/>
      <c r="Q100">
        <f t="shared" ca="1" si="6"/>
        <v>100.00000000000007</v>
      </c>
      <c r="R100">
        <f t="shared" si="7"/>
        <v>0</v>
      </c>
      <c r="S100" s="156">
        <f t="shared" si="8"/>
        <v>0</v>
      </c>
    </row>
    <row r="101" spans="2:19">
      <c r="B101" s="1151"/>
      <c r="Q101">
        <f t="shared" ca="1" si="6"/>
        <v>100.00000000000007</v>
      </c>
      <c r="R101">
        <f t="shared" si="7"/>
        <v>0</v>
      </c>
      <c r="S101" s="156">
        <f t="shared" si="8"/>
        <v>0</v>
      </c>
    </row>
    <row r="102" spans="2:19">
      <c r="B102" s="1151"/>
      <c r="Q102">
        <f t="shared" ca="1" si="6"/>
        <v>100.00000000000007</v>
      </c>
      <c r="R102">
        <f t="shared" si="7"/>
        <v>0</v>
      </c>
      <c r="S102" s="156">
        <f t="shared" si="8"/>
        <v>0</v>
      </c>
    </row>
    <row r="103" spans="2:19">
      <c r="B103" s="1151"/>
      <c r="Q103">
        <f t="shared" ca="1" si="6"/>
        <v>100.00000000000007</v>
      </c>
      <c r="R103">
        <f t="shared" si="7"/>
        <v>0</v>
      </c>
      <c r="S103" s="156">
        <f t="shared" si="8"/>
        <v>0</v>
      </c>
    </row>
    <row r="104" spans="2:19">
      <c r="B104" s="1151"/>
      <c r="Q104">
        <f t="shared" ca="1" si="6"/>
        <v>100.00000000000007</v>
      </c>
      <c r="R104">
        <f t="shared" si="7"/>
        <v>0</v>
      </c>
      <c r="S104" s="156">
        <f t="shared" si="8"/>
        <v>0</v>
      </c>
    </row>
    <row r="105" spans="2:19">
      <c r="B105" s="1151"/>
      <c r="Q105">
        <f t="shared" ca="1" si="6"/>
        <v>100.00000000000007</v>
      </c>
      <c r="R105">
        <f t="shared" si="7"/>
        <v>0</v>
      </c>
      <c r="S105" s="156">
        <f t="shared" si="8"/>
        <v>0</v>
      </c>
    </row>
    <row r="106" spans="2:19">
      <c r="B106" s="1151"/>
      <c r="Q106">
        <f t="shared" ca="1" si="6"/>
        <v>100.00000000000007</v>
      </c>
      <c r="R106">
        <f t="shared" si="7"/>
        <v>0</v>
      </c>
      <c r="S106" s="156">
        <f t="shared" si="8"/>
        <v>0</v>
      </c>
    </row>
    <row r="107" spans="2:19">
      <c r="B107" s="1151"/>
      <c r="Q107">
        <f t="shared" ca="1" si="6"/>
        <v>100.00000000000007</v>
      </c>
      <c r="R107">
        <f t="shared" si="7"/>
        <v>0</v>
      </c>
      <c r="S107" s="156">
        <f t="shared" si="8"/>
        <v>0</v>
      </c>
    </row>
    <row r="108" spans="2:19">
      <c r="B108" s="1151"/>
      <c r="Q108">
        <f t="shared" ca="1" si="6"/>
        <v>100.00000000000007</v>
      </c>
      <c r="R108">
        <f t="shared" si="7"/>
        <v>0</v>
      </c>
      <c r="S108" s="156">
        <f t="shared" si="8"/>
        <v>0</v>
      </c>
    </row>
    <row r="109" spans="2:19">
      <c r="B109" s="1151"/>
      <c r="Q109">
        <f t="shared" ca="1" si="6"/>
        <v>100.00000000000007</v>
      </c>
      <c r="R109">
        <f t="shared" si="7"/>
        <v>0</v>
      </c>
      <c r="S109" s="156">
        <f t="shared" si="8"/>
        <v>0</v>
      </c>
    </row>
    <row r="110" spans="2:19">
      <c r="B110" s="1151"/>
      <c r="Q110">
        <f t="shared" ca="1" si="6"/>
        <v>100.00000000000007</v>
      </c>
      <c r="R110">
        <f t="shared" si="7"/>
        <v>0</v>
      </c>
      <c r="S110" s="156">
        <f t="shared" si="8"/>
        <v>0</v>
      </c>
    </row>
    <row r="111" spans="2:19">
      <c r="B111" s="1151"/>
      <c r="Q111">
        <f t="shared" ca="1" si="6"/>
        <v>100.00000000000007</v>
      </c>
      <c r="R111">
        <f t="shared" si="7"/>
        <v>0</v>
      </c>
      <c r="S111" s="156">
        <f t="shared" si="8"/>
        <v>0</v>
      </c>
    </row>
    <row r="112" spans="2:19">
      <c r="B112" s="1151"/>
      <c r="Q112">
        <f t="shared" ca="1" si="6"/>
        <v>100.00000000000007</v>
      </c>
      <c r="R112">
        <f t="shared" si="7"/>
        <v>0</v>
      </c>
      <c r="S112" s="156">
        <f t="shared" si="8"/>
        <v>0</v>
      </c>
    </row>
    <row r="113" spans="2:19">
      <c r="B113" s="1151"/>
      <c r="Q113">
        <f t="shared" ca="1" si="6"/>
        <v>100.00000000000007</v>
      </c>
      <c r="R113">
        <f t="shared" si="7"/>
        <v>0</v>
      </c>
      <c r="S113" s="156">
        <f t="shared" si="8"/>
        <v>0</v>
      </c>
    </row>
    <row r="114" spans="2:19">
      <c r="B114" s="1151"/>
      <c r="Q114">
        <f t="shared" ca="1" si="6"/>
        <v>100.00000000000007</v>
      </c>
      <c r="R114">
        <f t="shared" si="7"/>
        <v>0</v>
      </c>
      <c r="S114" s="156">
        <f t="shared" si="8"/>
        <v>0</v>
      </c>
    </row>
    <row r="115" spans="2:19">
      <c r="B115" s="1151"/>
      <c r="Q115">
        <f t="shared" ca="1" si="6"/>
        <v>100.00000000000007</v>
      </c>
      <c r="R115">
        <f t="shared" si="7"/>
        <v>0</v>
      </c>
      <c r="S115" s="156">
        <f t="shared" si="8"/>
        <v>0</v>
      </c>
    </row>
    <row r="116" spans="2:19">
      <c r="B116" s="1151"/>
      <c r="Q116">
        <f t="shared" ca="1" si="6"/>
        <v>100.00000000000007</v>
      </c>
      <c r="R116">
        <f t="shared" si="7"/>
        <v>0</v>
      </c>
      <c r="S116" s="156">
        <f t="shared" si="8"/>
        <v>0</v>
      </c>
    </row>
    <row r="117" spans="2:19">
      <c r="B117" s="1151"/>
      <c r="Q117">
        <f t="shared" ca="1" si="6"/>
        <v>100.00000000000007</v>
      </c>
      <c r="R117">
        <f t="shared" si="7"/>
        <v>0</v>
      </c>
      <c r="S117" s="156">
        <f t="shared" si="8"/>
        <v>0</v>
      </c>
    </row>
    <row r="118" spans="2:19">
      <c r="B118" s="1151"/>
      <c r="Q118">
        <f t="shared" ca="1" si="6"/>
        <v>100.00000000000007</v>
      </c>
      <c r="R118">
        <f t="shared" si="7"/>
        <v>0</v>
      </c>
      <c r="S118" s="156">
        <f t="shared" si="8"/>
        <v>0</v>
      </c>
    </row>
    <row r="119" spans="2:19">
      <c r="B119" s="1151"/>
      <c r="Q119">
        <f t="shared" ca="1" si="6"/>
        <v>100.00000000000007</v>
      </c>
      <c r="R119">
        <f t="shared" si="7"/>
        <v>0</v>
      </c>
      <c r="S119" s="156">
        <f t="shared" si="8"/>
        <v>0</v>
      </c>
    </row>
    <row r="120" spans="2:19">
      <c r="B120" s="1151"/>
      <c r="Q120">
        <f t="shared" ca="1" si="6"/>
        <v>100.00000000000007</v>
      </c>
      <c r="R120">
        <f t="shared" si="7"/>
        <v>0</v>
      </c>
      <c r="S120" s="156">
        <f t="shared" si="8"/>
        <v>0</v>
      </c>
    </row>
    <row r="121" spans="2:19">
      <c r="B121" s="1151"/>
      <c r="Q121">
        <f t="shared" ca="1" si="6"/>
        <v>100.00000000000007</v>
      </c>
      <c r="R121">
        <f t="shared" si="7"/>
        <v>0</v>
      </c>
      <c r="S121" s="156">
        <f t="shared" si="8"/>
        <v>0</v>
      </c>
    </row>
    <row r="122" spans="2:19">
      <c r="B122" s="1151"/>
      <c r="Q122">
        <f t="shared" ca="1" si="6"/>
        <v>100.00000000000007</v>
      </c>
      <c r="R122">
        <f t="shared" si="7"/>
        <v>0</v>
      </c>
      <c r="S122" s="156">
        <f t="shared" si="8"/>
        <v>0</v>
      </c>
    </row>
    <row r="123" spans="2:19">
      <c r="B123" s="1151"/>
      <c r="Q123">
        <f t="shared" ca="1" si="6"/>
        <v>100.00000000000007</v>
      </c>
      <c r="R123">
        <f t="shared" si="7"/>
        <v>0</v>
      </c>
      <c r="S123" s="156">
        <f t="shared" si="8"/>
        <v>0</v>
      </c>
    </row>
    <row r="124" spans="2:19">
      <c r="B124" s="1151"/>
      <c r="Q124">
        <f t="shared" ca="1" si="6"/>
        <v>100.00000000000007</v>
      </c>
      <c r="R124">
        <f t="shared" si="7"/>
        <v>0</v>
      </c>
      <c r="S124" s="156">
        <f t="shared" si="8"/>
        <v>0</v>
      </c>
    </row>
    <row r="125" spans="2:19">
      <c r="B125" s="1151"/>
      <c r="Q125">
        <f t="shared" ca="1" si="6"/>
        <v>100.00000000000007</v>
      </c>
      <c r="R125">
        <f t="shared" si="7"/>
        <v>0</v>
      </c>
      <c r="S125" s="156">
        <f t="shared" si="8"/>
        <v>0</v>
      </c>
    </row>
    <row r="126" spans="2:19">
      <c r="B126" s="1151"/>
      <c r="Q126">
        <f t="shared" ca="1" si="6"/>
        <v>100.00000000000007</v>
      </c>
      <c r="R126">
        <f t="shared" si="7"/>
        <v>0</v>
      </c>
      <c r="S126" s="156">
        <f t="shared" si="8"/>
        <v>0</v>
      </c>
    </row>
    <row r="127" spans="2:19">
      <c r="B127" s="1151"/>
      <c r="Q127">
        <f t="shared" ca="1" si="6"/>
        <v>100.00000000000007</v>
      </c>
      <c r="R127">
        <f t="shared" si="7"/>
        <v>0</v>
      </c>
      <c r="S127" s="156">
        <f t="shared" si="8"/>
        <v>0</v>
      </c>
    </row>
    <row r="128" spans="2:19">
      <c r="B128" s="1151"/>
      <c r="Q128">
        <f t="shared" ca="1" si="6"/>
        <v>100.00000000000007</v>
      </c>
      <c r="R128">
        <f t="shared" si="7"/>
        <v>0</v>
      </c>
      <c r="S128" s="156">
        <f t="shared" si="8"/>
        <v>0</v>
      </c>
    </row>
    <row r="129" spans="2:19">
      <c r="B129" s="1151"/>
      <c r="Q129">
        <f t="shared" ca="1" si="6"/>
        <v>100.00000000000007</v>
      </c>
      <c r="R129">
        <f t="shared" si="7"/>
        <v>0</v>
      </c>
      <c r="S129" s="156">
        <f t="shared" si="8"/>
        <v>0</v>
      </c>
    </row>
    <row r="130" spans="2:19">
      <c r="B130" s="1151"/>
      <c r="Q130">
        <f t="shared" ca="1" si="6"/>
        <v>100.00000000000007</v>
      </c>
      <c r="R130">
        <f t="shared" si="7"/>
        <v>0</v>
      </c>
      <c r="S130" s="156">
        <f t="shared" si="8"/>
        <v>0</v>
      </c>
    </row>
    <row r="131" spans="2:19">
      <c r="B131" s="1151"/>
      <c r="Q131">
        <f t="shared" ref="Q131:Q194" ca="1" si="9">(M131/P$2*100+Q130)</f>
        <v>100.00000000000007</v>
      </c>
      <c r="R131">
        <f t="shared" ref="R131:R194" si="10">IF(N131="kg",1,_xlfn.XLOOKUP(L131,Z:Z,AA:AA,0))</f>
        <v>0</v>
      </c>
      <c r="S131" s="156">
        <f t="shared" si="8"/>
        <v>0</v>
      </c>
    </row>
    <row r="132" spans="2:19">
      <c r="B132" s="1151"/>
      <c r="Q132">
        <f t="shared" ca="1" si="9"/>
        <v>100.00000000000007</v>
      </c>
      <c r="R132">
        <f t="shared" si="10"/>
        <v>0</v>
      </c>
      <c r="S132" s="156">
        <f t="shared" ref="S132:S195" si="11">O132*R132/1000</f>
        <v>0</v>
      </c>
    </row>
    <row r="133" spans="2:19">
      <c r="B133" s="1151"/>
      <c r="Q133">
        <f t="shared" ca="1" si="9"/>
        <v>100.00000000000007</v>
      </c>
      <c r="R133">
        <f t="shared" si="10"/>
        <v>0</v>
      </c>
      <c r="S133" s="156">
        <f t="shared" si="11"/>
        <v>0</v>
      </c>
    </row>
    <row r="134" spans="2:19">
      <c r="B134" s="1151"/>
      <c r="Q134">
        <f t="shared" ca="1" si="9"/>
        <v>100.00000000000007</v>
      </c>
      <c r="R134">
        <f t="shared" si="10"/>
        <v>0</v>
      </c>
      <c r="S134" s="156">
        <f t="shared" si="11"/>
        <v>0</v>
      </c>
    </row>
    <row r="135" spans="2:19">
      <c r="B135" s="1151"/>
      <c r="Q135">
        <f t="shared" ca="1" si="9"/>
        <v>100.00000000000007</v>
      </c>
      <c r="R135">
        <f t="shared" si="10"/>
        <v>0</v>
      </c>
      <c r="S135" s="156">
        <f t="shared" si="11"/>
        <v>0</v>
      </c>
    </row>
    <row r="136" spans="2:19">
      <c r="B136" s="1151"/>
      <c r="Q136">
        <f t="shared" ca="1" si="9"/>
        <v>100.00000000000007</v>
      </c>
      <c r="R136">
        <f t="shared" si="10"/>
        <v>0</v>
      </c>
      <c r="S136" s="156">
        <f t="shared" si="11"/>
        <v>0</v>
      </c>
    </row>
    <row r="137" spans="2:19">
      <c r="B137" s="1151"/>
      <c r="Q137">
        <f t="shared" ca="1" si="9"/>
        <v>100.00000000000007</v>
      </c>
      <c r="R137">
        <f t="shared" si="10"/>
        <v>0</v>
      </c>
      <c r="S137" s="156">
        <f t="shared" si="11"/>
        <v>0</v>
      </c>
    </row>
    <row r="138" spans="2:19">
      <c r="B138" s="1151"/>
      <c r="Q138">
        <f t="shared" ca="1" si="9"/>
        <v>100.00000000000007</v>
      </c>
      <c r="R138">
        <f t="shared" si="10"/>
        <v>0</v>
      </c>
      <c r="S138" s="156">
        <f t="shared" si="11"/>
        <v>0</v>
      </c>
    </row>
    <row r="139" spans="2:19">
      <c r="B139" s="1151"/>
      <c r="Q139">
        <f t="shared" ca="1" si="9"/>
        <v>100.00000000000007</v>
      </c>
      <c r="R139">
        <f t="shared" si="10"/>
        <v>0</v>
      </c>
      <c r="S139" s="156">
        <f t="shared" si="11"/>
        <v>0</v>
      </c>
    </row>
    <row r="140" spans="2:19">
      <c r="B140" s="1151"/>
      <c r="Q140">
        <f t="shared" ca="1" si="9"/>
        <v>100.00000000000007</v>
      </c>
      <c r="R140">
        <f t="shared" si="10"/>
        <v>0</v>
      </c>
      <c r="S140" s="156">
        <f t="shared" si="11"/>
        <v>0</v>
      </c>
    </row>
    <row r="141" spans="2:19">
      <c r="B141" s="1151"/>
      <c r="Q141">
        <f t="shared" ca="1" si="9"/>
        <v>100.00000000000007</v>
      </c>
      <c r="R141">
        <f t="shared" si="10"/>
        <v>0</v>
      </c>
      <c r="S141" s="156">
        <f t="shared" si="11"/>
        <v>0</v>
      </c>
    </row>
    <row r="142" spans="2:19">
      <c r="B142" s="1151"/>
      <c r="Q142">
        <f t="shared" ca="1" si="9"/>
        <v>100.00000000000007</v>
      </c>
      <c r="R142">
        <f t="shared" si="10"/>
        <v>0</v>
      </c>
      <c r="S142" s="156">
        <f t="shared" si="11"/>
        <v>0</v>
      </c>
    </row>
    <row r="143" spans="2:19">
      <c r="B143" s="1151"/>
      <c r="Q143">
        <f t="shared" ca="1" si="9"/>
        <v>100.00000000000007</v>
      </c>
      <c r="R143">
        <f t="shared" si="10"/>
        <v>0</v>
      </c>
      <c r="S143" s="156">
        <f t="shared" si="11"/>
        <v>0</v>
      </c>
    </row>
    <row r="144" spans="2:19">
      <c r="B144" s="1151"/>
      <c r="Q144">
        <f t="shared" ca="1" si="9"/>
        <v>100.00000000000007</v>
      </c>
      <c r="R144">
        <f t="shared" si="10"/>
        <v>0</v>
      </c>
      <c r="S144" s="156">
        <f t="shared" si="11"/>
        <v>0</v>
      </c>
    </row>
    <row r="145" spans="2:19">
      <c r="B145" s="1151"/>
      <c r="Q145">
        <f t="shared" ca="1" si="9"/>
        <v>100.00000000000007</v>
      </c>
      <c r="R145">
        <f t="shared" si="10"/>
        <v>0</v>
      </c>
      <c r="S145" s="156">
        <f t="shared" si="11"/>
        <v>0</v>
      </c>
    </row>
    <row r="146" spans="2:19">
      <c r="B146" s="1151"/>
      <c r="Q146">
        <f t="shared" ca="1" si="9"/>
        <v>100.00000000000007</v>
      </c>
      <c r="R146">
        <f t="shared" si="10"/>
        <v>0</v>
      </c>
      <c r="S146" s="156">
        <f t="shared" si="11"/>
        <v>0</v>
      </c>
    </row>
    <row r="147" spans="2:19">
      <c r="B147" s="1151"/>
      <c r="Q147">
        <f t="shared" ca="1" si="9"/>
        <v>100.00000000000007</v>
      </c>
      <c r="R147">
        <f t="shared" si="10"/>
        <v>0</v>
      </c>
      <c r="S147" s="156">
        <f t="shared" si="11"/>
        <v>0</v>
      </c>
    </row>
    <row r="148" spans="2:19">
      <c r="B148" s="1151"/>
      <c r="Q148">
        <f t="shared" ca="1" si="9"/>
        <v>100.00000000000007</v>
      </c>
      <c r="R148">
        <f t="shared" si="10"/>
        <v>0</v>
      </c>
      <c r="S148" s="156">
        <f t="shared" si="11"/>
        <v>0</v>
      </c>
    </row>
    <row r="149" spans="2:19">
      <c r="B149" s="1151"/>
      <c r="Q149">
        <f t="shared" ca="1" si="9"/>
        <v>100.00000000000007</v>
      </c>
      <c r="R149">
        <f t="shared" si="10"/>
        <v>0</v>
      </c>
      <c r="S149" s="156">
        <f t="shared" si="11"/>
        <v>0</v>
      </c>
    </row>
    <row r="150" spans="2:19">
      <c r="B150" s="1151"/>
      <c r="Q150">
        <f t="shared" ca="1" si="9"/>
        <v>100.00000000000007</v>
      </c>
      <c r="R150">
        <f t="shared" si="10"/>
        <v>0</v>
      </c>
      <c r="S150" s="156">
        <f t="shared" si="11"/>
        <v>0</v>
      </c>
    </row>
    <row r="151" spans="2:19">
      <c r="B151" s="1151"/>
      <c r="Q151">
        <f t="shared" ca="1" si="9"/>
        <v>100.00000000000007</v>
      </c>
      <c r="R151">
        <f t="shared" si="10"/>
        <v>0</v>
      </c>
      <c r="S151" s="156">
        <f t="shared" si="11"/>
        <v>0</v>
      </c>
    </row>
    <row r="152" spans="2:19">
      <c r="B152" s="1151"/>
      <c r="Q152">
        <f t="shared" ca="1" si="9"/>
        <v>100.00000000000007</v>
      </c>
      <c r="R152">
        <f t="shared" si="10"/>
        <v>0</v>
      </c>
      <c r="S152" s="156">
        <f t="shared" si="11"/>
        <v>0</v>
      </c>
    </row>
    <row r="153" spans="2:19">
      <c r="B153" s="1151"/>
      <c r="Q153">
        <f t="shared" ca="1" si="9"/>
        <v>100.00000000000007</v>
      </c>
      <c r="R153">
        <f t="shared" si="10"/>
        <v>0</v>
      </c>
      <c r="S153" s="156">
        <f t="shared" si="11"/>
        <v>0</v>
      </c>
    </row>
    <row r="154" spans="2:19">
      <c r="B154" s="1151"/>
      <c r="Q154">
        <f t="shared" ca="1" si="9"/>
        <v>100.00000000000007</v>
      </c>
      <c r="R154">
        <f t="shared" si="10"/>
        <v>0</v>
      </c>
      <c r="S154" s="156">
        <f t="shared" si="11"/>
        <v>0</v>
      </c>
    </row>
    <row r="155" spans="2:19">
      <c r="B155" s="1151"/>
      <c r="Q155">
        <f t="shared" ca="1" si="9"/>
        <v>100.00000000000007</v>
      </c>
      <c r="R155">
        <f t="shared" si="10"/>
        <v>0</v>
      </c>
      <c r="S155" s="156">
        <f t="shared" si="11"/>
        <v>0</v>
      </c>
    </row>
    <row r="156" spans="2:19">
      <c r="B156" s="1151"/>
      <c r="Q156">
        <f t="shared" ca="1" si="9"/>
        <v>100.00000000000007</v>
      </c>
      <c r="R156">
        <f t="shared" si="10"/>
        <v>0</v>
      </c>
      <c r="S156" s="156">
        <f t="shared" si="11"/>
        <v>0</v>
      </c>
    </row>
    <row r="157" spans="2:19">
      <c r="B157" s="1151"/>
      <c r="Q157">
        <f t="shared" ca="1" si="9"/>
        <v>100.00000000000007</v>
      </c>
      <c r="R157">
        <f t="shared" si="10"/>
        <v>0</v>
      </c>
      <c r="S157" s="156">
        <f t="shared" si="11"/>
        <v>0</v>
      </c>
    </row>
    <row r="158" spans="2:19">
      <c r="B158" s="1151"/>
      <c r="Q158">
        <f t="shared" ca="1" si="9"/>
        <v>100.00000000000007</v>
      </c>
      <c r="R158">
        <f t="shared" si="10"/>
        <v>0</v>
      </c>
      <c r="S158" s="156">
        <f t="shared" si="11"/>
        <v>0</v>
      </c>
    </row>
    <row r="159" spans="2:19">
      <c r="B159" s="1151"/>
      <c r="Q159">
        <f t="shared" ca="1" si="9"/>
        <v>100.00000000000007</v>
      </c>
      <c r="R159">
        <f t="shared" si="10"/>
        <v>0</v>
      </c>
      <c r="S159" s="156">
        <f t="shared" si="11"/>
        <v>0</v>
      </c>
    </row>
    <row r="160" spans="2:19">
      <c r="B160" s="1151"/>
      <c r="Q160">
        <f t="shared" ca="1" si="9"/>
        <v>100.00000000000007</v>
      </c>
      <c r="R160">
        <f t="shared" si="10"/>
        <v>0</v>
      </c>
      <c r="S160" s="156">
        <f t="shared" si="11"/>
        <v>0</v>
      </c>
    </row>
    <row r="161" spans="2:19">
      <c r="B161" s="1151"/>
      <c r="Q161">
        <f t="shared" ca="1" si="9"/>
        <v>100.00000000000007</v>
      </c>
      <c r="R161">
        <f t="shared" si="10"/>
        <v>0</v>
      </c>
      <c r="S161" s="156">
        <f t="shared" si="11"/>
        <v>0</v>
      </c>
    </row>
    <row r="162" spans="2:19">
      <c r="B162" s="1151"/>
      <c r="Q162">
        <f t="shared" ca="1" si="9"/>
        <v>100.00000000000007</v>
      </c>
      <c r="R162">
        <f t="shared" si="10"/>
        <v>0</v>
      </c>
      <c r="S162" s="156">
        <f t="shared" si="11"/>
        <v>0</v>
      </c>
    </row>
    <row r="163" spans="2:19">
      <c r="B163" s="1151"/>
      <c r="Q163">
        <f t="shared" ca="1" si="9"/>
        <v>100.00000000000007</v>
      </c>
      <c r="R163">
        <f t="shared" si="10"/>
        <v>0</v>
      </c>
      <c r="S163" s="156">
        <f t="shared" si="11"/>
        <v>0</v>
      </c>
    </row>
    <row r="164" spans="2:19">
      <c r="B164" s="1151"/>
      <c r="Q164">
        <f t="shared" ca="1" si="9"/>
        <v>100.00000000000007</v>
      </c>
      <c r="R164">
        <f t="shared" si="10"/>
        <v>0</v>
      </c>
      <c r="S164" s="156">
        <f t="shared" si="11"/>
        <v>0</v>
      </c>
    </row>
    <row r="165" spans="2:19">
      <c r="B165" s="1151"/>
      <c r="Q165">
        <f t="shared" ca="1" si="9"/>
        <v>100.00000000000007</v>
      </c>
      <c r="R165">
        <f t="shared" si="10"/>
        <v>0</v>
      </c>
      <c r="S165" s="156">
        <f t="shared" si="11"/>
        <v>0</v>
      </c>
    </row>
    <row r="166" spans="2:19">
      <c r="B166" s="1151"/>
      <c r="Q166">
        <f t="shared" ca="1" si="9"/>
        <v>100.00000000000007</v>
      </c>
      <c r="R166">
        <f t="shared" si="10"/>
        <v>0</v>
      </c>
      <c r="S166" s="156">
        <f t="shared" si="11"/>
        <v>0</v>
      </c>
    </row>
    <row r="167" spans="2:19">
      <c r="B167" s="1151"/>
      <c r="Q167">
        <f t="shared" ca="1" si="9"/>
        <v>100.00000000000007</v>
      </c>
      <c r="R167">
        <f t="shared" si="10"/>
        <v>0</v>
      </c>
      <c r="S167" s="156">
        <f t="shared" si="11"/>
        <v>0</v>
      </c>
    </row>
    <row r="168" spans="2:19">
      <c r="B168" s="1151"/>
      <c r="Q168">
        <f t="shared" ca="1" si="9"/>
        <v>100.00000000000007</v>
      </c>
      <c r="R168">
        <f t="shared" si="10"/>
        <v>0</v>
      </c>
      <c r="S168" s="156">
        <f t="shared" si="11"/>
        <v>0</v>
      </c>
    </row>
    <row r="169" spans="2:19">
      <c r="B169" s="1151"/>
      <c r="Q169">
        <f t="shared" ca="1" si="9"/>
        <v>100.00000000000007</v>
      </c>
      <c r="R169">
        <f t="shared" si="10"/>
        <v>0</v>
      </c>
      <c r="S169" s="156">
        <f t="shared" si="11"/>
        <v>0</v>
      </c>
    </row>
    <row r="170" spans="2:19">
      <c r="B170" s="1151"/>
      <c r="Q170">
        <f t="shared" ca="1" si="9"/>
        <v>100.00000000000007</v>
      </c>
      <c r="R170">
        <f t="shared" si="10"/>
        <v>0</v>
      </c>
      <c r="S170" s="156">
        <f t="shared" si="11"/>
        <v>0</v>
      </c>
    </row>
    <row r="171" spans="2:19">
      <c r="B171" s="1151"/>
      <c r="Q171">
        <f t="shared" ca="1" si="9"/>
        <v>100.00000000000007</v>
      </c>
      <c r="R171">
        <f t="shared" si="10"/>
        <v>0</v>
      </c>
      <c r="S171" s="156">
        <f t="shared" si="11"/>
        <v>0</v>
      </c>
    </row>
    <row r="172" spans="2:19">
      <c r="B172" s="1151"/>
      <c r="Q172">
        <f t="shared" ca="1" si="9"/>
        <v>100.00000000000007</v>
      </c>
      <c r="R172">
        <f t="shared" si="10"/>
        <v>0</v>
      </c>
      <c r="S172" s="156">
        <f t="shared" si="11"/>
        <v>0</v>
      </c>
    </row>
    <row r="173" spans="2:19">
      <c r="B173" s="1151"/>
      <c r="Q173">
        <f t="shared" ca="1" si="9"/>
        <v>100.00000000000007</v>
      </c>
      <c r="R173">
        <f t="shared" si="10"/>
        <v>0</v>
      </c>
      <c r="S173" s="156">
        <f t="shared" si="11"/>
        <v>0</v>
      </c>
    </row>
    <row r="174" spans="2:19">
      <c r="B174" s="1151"/>
      <c r="Q174">
        <f t="shared" ca="1" si="9"/>
        <v>100.00000000000007</v>
      </c>
      <c r="R174">
        <f t="shared" si="10"/>
        <v>0</v>
      </c>
      <c r="S174" s="156">
        <f t="shared" si="11"/>
        <v>0</v>
      </c>
    </row>
    <row r="175" spans="2:19">
      <c r="B175" s="1151"/>
      <c r="Q175">
        <f t="shared" ca="1" si="9"/>
        <v>100.00000000000007</v>
      </c>
      <c r="R175">
        <f t="shared" si="10"/>
        <v>0</v>
      </c>
      <c r="S175" s="156">
        <f t="shared" si="11"/>
        <v>0</v>
      </c>
    </row>
    <row r="176" spans="2:19">
      <c r="B176" s="1151"/>
      <c r="Q176">
        <f t="shared" ca="1" si="9"/>
        <v>100.00000000000007</v>
      </c>
      <c r="R176">
        <f t="shared" si="10"/>
        <v>0</v>
      </c>
      <c r="S176" s="156">
        <f t="shared" si="11"/>
        <v>0</v>
      </c>
    </row>
    <row r="177" spans="2:19">
      <c r="B177" s="1151"/>
      <c r="Q177">
        <f t="shared" ca="1" si="9"/>
        <v>100.00000000000007</v>
      </c>
      <c r="R177">
        <f t="shared" si="10"/>
        <v>0</v>
      </c>
      <c r="S177" s="156">
        <f t="shared" si="11"/>
        <v>0</v>
      </c>
    </row>
    <row r="178" spans="2:19">
      <c r="B178" s="1151"/>
      <c r="Q178">
        <f t="shared" ca="1" si="9"/>
        <v>100.00000000000007</v>
      </c>
      <c r="R178">
        <f t="shared" si="10"/>
        <v>0</v>
      </c>
      <c r="S178" s="156">
        <f t="shared" si="11"/>
        <v>0</v>
      </c>
    </row>
    <row r="179" spans="2:19">
      <c r="B179" s="1151"/>
      <c r="Q179">
        <f t="shared" ca="1" si="9"/>
        <v>100.00000000000007</v>
      </c>
      <c r="R179">
        <f t="shared" si="10"/>
        <v>0</v>
      </c>
      <c r="S179" s="156">
        <f t="shared" si="11"/>
        <v>0</v>
      </c>
    </row>
    <row r="180" spans="2:19">
      <c r="B180" s="1151"/>
      <c r="Q180">
        <f t="shared" ca="1" si="9"/>
        <v>100.00000000000007</v>
      </c>
      <c r="R180">
        <f t="shared" si="10"/>
        <v>0</v>
      </c>
      <c r="S180" s="156">
        <f t="shared" si="11"/>
        <v>0</v>
      </c>
    </row>
    <row r="181" spans="2:19">
      <c r="B181" s="1151"/>
      <c r="Q181">
        <f t="shared" ca="1" si="9"/>
        <v>100.00000000000007</v>
      </c>
      <c r="R181">
        <f t="shared" si="10"/>
        <v>0</v>
      </c>
      <c r="S181" s="156">
        <f t="shared" si="11"/>
        <v>0</v>
      </c>
    </row>
    <row r="182" spans="2:19">
      <c r="B182" s="1151"/>
      <c r="Q182">
        <f t="shared" ca="1" si="9"/>
        <v>100.00000000000007</v>
      </c>
      <c r="R182">
        <f t="shared" si="10"/>
        <v>0</v>
      </c>
      <c r="S182" s="156">
        <f t="shared" si="11"/>
        <v>0</v>
      </c>
    </row>
    <row r="183" spans="2:19">
      <c r="B183" s="1151"/>
      <c r="Q183">
        <f t="shared" ca="1" si="9"/>
        <v>100.00000000000007</v>
      </c>
      <c r="R183">
        <f t="shared" si="10"/>
        <v>0</v>
      </c>
      <c r="S183" s="156">
        <f t="shared" si="11"/>
        <v>0</v>
      </c>
    </row>
    <row r="184" spans="2:19">
      <c r="B184" s="1151"/>
      <c r="Q184">
        <f t="shared" ca="1" si="9"/>
        <v>100.00000000000007</v>
      </c>
      <c r="R184">
        <f t="shared" si="10"/>
        <v>0</v>
      </c>
      <c r="S184" s="156">
        <f t="shared" si="11"/>
        <v>0</v>
      </c>
    </row>
    <row r="185" spans="2:19">
      <c r="B185" s="1151"/>
      <c r="Q185">
        <f t="shared" ca="1" si="9"/>
        <v>100.00000000000007</v>
      </c>
      <c r="R185">
        <f t="shared" si="10"/>
        <v>0</v>
      </c>
      <c r="S185" s="156">
        <f t="shared" si="11"/>
        <v>0</v>
      </c>
    </row>
    <row r="186" spans="2:19">
      <c r="B186" s="1151"/>
      <c r="Q186">
        <f t="shared" ca="1" si="9"/>
        <v>100.00000000000007</v>
      </c>
      <c r="R186">
        <f t="shared" si="10"/>
        <v>0</v>
      </c>
      <c r="S186" s="156">
        <f t="shared" si="11"/>
        <v>0</v>
      </c>
    </row>
    <row r="187" spans="2:19">
      <c r="B187" s="1151"/>
      <c r="Q187">
        <f t="shared" ca="1" si="9"/>
        <v>100.00000000000007</v>
      </c>
      <c r="R187">
        <f t="shared" si="10"/>
        <v>0</v>
      </c>
      <c r="S187" s="156">
        <f t="shared" si="11"/>
        <v>0</v>
      </c>
    </row>
    <row r="188" spans="2:19">
      <c r="B188" s="1151"/>
      <c r="Q188">
        <f t="shared" ca="1" si="9"/>
        <v>100.00000000000007</v>
      </c>
      <c r="R188">
        <f t="shared" si="10"/>
        <v>0</v>
      </c>
      <c r="S188" s="156">
        <f t="shared" si="11"/>
        <v>0</v>
      </c>
    </row>
    <row r="189" spans="2:19">
      <c r="B189" s="1151"/>
      <c r="Q189">
        <f t="shared" ca="1" si="9"/>
        <v>100.00000000000007</v>
      </c>
      <c r="R189">
        <f t="shared" si="10"/>
        <v>0</v>
      </c>
      <c r="S189" s="156">
        <f t="shared" si="11"/>
        <v>0</v>
      </c>
    </row>
    <row r="190" spans="2:19">
      <c r="B190" s="1151"/>
      <c r="Q190">
        <f t="shared" ca="1" si="9"/>
        <v>100.00000000000007</v>
      </c>
      <c r="R190">
        <f t="shared" si="10"/>
        <v>0</v>
      </c>
      <c r="S190" s="156">
        <f t="shared" si="11"/>
        <v>0</v>
      </c>
    </row>
    <row r="191" spans="2:19">
      <c r="B191" s="1151"/>
      <c r="Q191">
        <f t="shared" ca="1" si="9"/>
        <v>100.00000000000007</v>
      </c>
      <c r="R191">
        <f t="shared" si="10"/>
        <v>0</v>
      </c>
      <c r="S191" s="156">
        <f t="shared" si="11"/>
        <v>0</v>
      </c>
    </row>
    <row r="192" spans="2:19">
      <c r="B192" s="1151"/>
      <c r="Q192">
        <f t="shared" ca="1" si="9"/>
        <v>100.00000000000007</v>
      </c>
      <c r="R192">
        <f t="shared" si="10"/>
        <v>0</v>
      </c>
      <c r="S192" s="156">
        <f t="shared" si="11"/>
        <v>0</v>
      </c>
    </row>
    <row r="193" spans="2:19">
      <c r="B193" s="1151"/>
      <c r="Q193">
        <f t="shared" ca="1" si="9"/>
        <v>100.00000000000007</v>
      </c>
      <c r="R193">
        <f t="shared" si="10"/>
        <v>0</v>
      </c>
      <c r="S193" s="156">
        <f t="shared" si="11"/>
        <v>0</v>
      </c>
    </row>
    <row r="194" spans="2:19">
      <c r="B194" s="1151"/>
      <c r="Q194">
        <f t="shared" ca="1" si="9"/>
        <v>100.00000000000007</v>
      </c>
      <c r="R194">
        <f t="shared" si="10"/>
        <v>0</v>
      </c>
      <c r="S194" s="156">
        <f t="shared" si="11"/>
        <v>0</v>
      </c>
    </row>
    <row r="195" spans="2:19">
      <c r="B195" s="1151"/>
      <c r="Q195">
        <f t="shared" ref="Q195:Q223" ca="1" si="12">(M195/P$2*100+Q194)</f>
        <v>100.00000000000007</v>
      </c>
      <c r="R195">
        <f t="shared" ref="R195:R223" si="13">IF(N195="kg",1,_xlfn.XLOOKUP(L195,Z:Z,AA:AA,0))</f>
        <v>0</v>
      </c>
      <c r="S195" s="156">
        <f t="shared" si="11"/>
        <v>0</v>
      </c>
    </row>
    <row r="196" spans="2:19">
      <c r="B196" s="1151"/>
      <c r="Q196">
        <f t="shared" ca="1" si="12"/>
        <v>100.00000000000007</v>
      </c>
      <c r="R196">
        <f t="shared" si="13"/>
        <v>0</v>
      </c>
      <c r="S196" s="156">
        <f t="shared" ref="S196:S223" si="14">O196*R196/1000</f>
        <v>0</v>
      </c>
    </row>
    <row r="197" spans="2:19">
      <c r="B197" s="1151"/>
      <c r="Q197">
        <f t="shared" ca="1" si="12"/>
        <v>100.00000000000007</v>
      </c>
      <c r="R197">
        <f t="shared" si="13"/>
        <v>0</v>
      </c>
      <c r="S197" s="156">
        <f t="shared" si="14"/>
        <v>0</v>
      </c>
    </row>
    <row r="198" spans="2:19">
      <c r="B198" s="1151"/>
      <c r="Q198">
        <f t="shared" ca="1" si="12"/>
        <v>100.00000000000007</v>
      </c>
      <c r="R198">
        <f t="shared" si="13"/>
        <v>0</v>
      </c>
      <c r="S198" s="156">
        <f t="shared" si="14"/>
        <v>0</v>
      </c>
    </row>
    <row r="199" spans="2:19">
      <c r="B199" s="1151"/>
      <c r="Q199">
        <f t="shared" ca="1" si="12"/>
        <v>100.00000000000007</v>
      </c>
      <c r="R199">
        <f t="shared" si="13"/>
        <v>0</v>
      </c>
      <c r="S199" s="156">
        <f t="shared" si="14"/>
        <v>0</v>
      </c>
    </row>
    <row r="200" spans="2:19">
      <c r="B200" s="1151"/>
      <c r="Q200">
        <f t="shared" ca="1" si="12"/>
        <v>100.00000000000007</v>
      </c>
      <c r="R200">
        <f t="shared" si="13"/>
        <v>0</v>
      </c>
      <c r="S200" s="156">
        <f t="shared" si="14"/>
        <v>0</v>
      </c>
    </row>
    <row r="201" spans="2:19">
      <c r="B201" s="1151"/>
      <c r="Q201">
        <f t="shared" ca="1" si="12"/>
        <v>100.00000000000007</v>
      </c>
      <c r="R201">
        <f t="shared" si="13"/>
        <v>0</v>
      </c>
      <c r="S201" s="156">
        <f t="shared" si="14"/>
        <v>0</v>
      </c>
    </row>
    <row r="202" spans="2:19">
      <c r="B202" s="1151"/>
      <c r="Q202">
        <f t="shared" ca="1" si="12"/>
        <v>100.00000000000007</v>
      </c>
      <c r="R202">
        <f t="shared" si="13"/>
        <v>0</v>
      </c>
      <c r="S202" s="156">
        <f t="shared" si="14"/>
        <v>0</v>
      </c>
    </row>
    <row r="203" spans="2:19">
      <c r="B203" s="1151"/>
      <c r="Q203">
        <f t="shared" ca="1" si="12"/>
        <v>100.00000000000007</v>
      </c>
      <c r="R203">
        <f t="shared" si="13"/>
        <v>0</v>
      </c>
      <c r="S203" s="156">
        <f t="shared" si="14"/>
        <v>0</v>
      </c>
    </row>
    <row r="204" spans="2:19">
      <c r="B204" s="1151"/>
      <c r="Q204">
        <f t="shared" ca="1" si="12"/>
        <v>100.00000000000007</v>
      </c>
      <c r="R204">
        <f t="shared" si="13"/>
        <v>0</v>
      </c>
      <c r="S204" s="156">
        <f t="shared" si="14"/>
        <v>0</v>
      </c>
    </row>
    <row r="205" spans="2:19">
      <c r="B205" s="1151"/>
      <c r="Q205">
        <f t="shared" ca="1" si="12"/>
        <v>100.00000000000007</v>
      </c>
      <c r="R205">
        <f t="shared" si="13"/>
        <v>0</v>
      </c>
      <c r="S205" s="156">
        <f t="shared" si="14"/>
        <v>0</v>
      </c>
    </row>
    <row r="206" spans="2:19">
      <c r="B206" s="1151"/>
      <c r="Q206">
        <f t="shared" ca="1" si="12"/>
        <v>100.00000000000007</v>
      </c>
      <c r="R206">
        <f t="shared" si="13"/>
        <v>0</v>
      </c>
      <c r="S206" s="156">
        <f t="shared" si="14"/>
        <v>0</v>
      </c>
    </row>
    <row r="207" spans="2:19">
      <c r="B207" s="1151"/>
      <c r="Q207">
        <f t="shared" ca="1" si="12"/>
        <v>100.00000000000007</v>
      </c>
      <c r="R207">
        <f t="shared" si="13"/>
        <v>0</v>
      </c>
      <c r="S207" s="156">
        <f t="shared" si="14"/>
        <v>0</v>
      </c>
    </row>
    <row r="208" spans="2:19">
      <c r="B208" s="1151"/>
      <c r="Q208">
        <f t="shared" ca="1" si="12"/>
        <v>100.00000000000007</v>
      </c>
      <c r="R208">
        <f t="shared" si="13"/>
        <v>0</v>
      </c>
      <c r="S208" s="156">
        <f t="shared" si="14"/>
        <v>0</v>
      </c>
    </row>
    <row r="209" spans="2:19">
      <c r="B209" s="1151"/>
      <c r="Q209">
        <f t="shared" ca="1" si="12"/>
        <v>100.00000000000007</v>
      </c>
      <c r="R209">
        <f t="shared" si="13"/>
        <v>0</v>
      </c>
      <c r="S209" s="156">
        <f t="shared" si="14"/>
        <v>0</v>
      </c>
    </row>
    <row r="210" spans="2:19">
      <c r="B210" s="1151"/>
      <c r="Q210">
        <f t="shared" ca="1" si="12"/>
        <v>100.00000000000007</v>
      </c>
      <c r="R210">
        <f t="shared" si="13"/>
        <v>0</v>
      </c>
      <c r="S210" s="156">
        <f t="shared" si="14"/>
        <v>0</v>
      </c>
    </row>
    <row r="211" spans="2:19">
      <c r="B211" s="1151"/>
      <c r="Q211">
        <f t="shared" ca="1" si="12"/>
        <v>100.00000000000007</v>
      </c>
      <c r="R211">
        <f t="shared" si="13"/>
        <v>0</v>
      </c>
      <c r="S211" s="156">
        <f t="shared" si="14"/>
        <v>0</v>
      </c>
    </row>
    <row r="212" spans="2:19">
      <c r="B212" s="1151"/>
      <c r="Q212">
        <f t="shared" ca="1" si="12"/>
        <v>100.00000000000007</v>
      </c>
      <c r="R212">
        <f t="shared" si="13"/>
        <v>0</v>
      </c>
      <c r="S212" s="156">
        <f t="shared" si="14"/>
        <v>0</v>
      </c>
    </row>
    <row r="213" spans="2:19">
      <c r="B213" s="1151"/>
      <c r="Q213">
        <f t="shared" ca="1" si="12"/>
        <v>100.00000000000007</v>
      </c>
      <c r="R213">
        <f t="shared" si="13"/>
        <v>0</v>
      </c>
      <c r="S213" s="156">
        <f t="shared" si="14"/>
        <v>0</v>
      </c>
    </row>
    <row r="214" spans="2:19">
      <c r="B214" s="1151"/>
      <c r="Q214">
        <f t="shared" ca="1" si="12"/>
        <v>100.00000000000007</v>
      </c>
      <c r="R214">
        <f t="shared" si="13"/>
        <v>0</v>
      </c>
      <c r="S214" s="156">
        <f t="shared" si="14"/>
        <v>0</v>
      </c>
    </row>
    <row r="215" spans="2:19">
      <c r="B215" s="1151"/>
      <c r="Q215">
        <f t="shared" ca="1" si="12"/>
        <v>100.00000000000007</v>
      </c>
      <c r="R215">
        <f t="shared" si="13"/>
        <v>0</v>
      </c>
      <c r="S215" s="156">
        <f t="shared" si="14"/>
        <v>0</v>
      </c>
    </row>
    <row r="216" spans="2:19">
      <c r="B216" s="1151"/>
      <c r="Q216">
        <f t="shared" ca="1" si="12"/>
        <v>100.00000000000007</v>
      </c>
      <c r="R216">
        <f t="shared" si="13"/>
        <v>0</v>
      </c>
      <c r="S216" s="156">
        <f t="shared" si="14"/>
        <v>0</v>
      </c>
    </row>
    <row r="217" spans="2:19">
      <c r="B217" s="1151"/>
      <c r="Q217">
        <f t="shared" ca="1" si="12"/>
        <v>100.00000000000007</v>
      </c>
      <c r="R217">
        <f t="shared" si="13"/>
        <v>0</v>
      </c>
      <c r="S217" s="156">
        <f t="shared" si="14"/>
        <v>0</v>
      </c>
    </row>
    <row r="218" spans="2:19">
      <c r="B218" s="1151"/>
      <c r="Q218">
        <f t="shared" ca="1" si="12"/>
        <v>100.00000000000007</v>
      </c>
      <c r="R218">
        <f t="shared" si="13"/>
        <v>0</v>
      </c>
      <c r="S218" s="156">
        <f t="shared" si="14"/>
        <v>0</v>
      </c>
    </row>
    <row r="219" spans="2:19">
      <c r="B219" s="1151"/>
      <c r="Q219">
        <f t="shared" ca="1" si="12"/>
        <v>100.00000000000007</v>
      </c>
      <c r="R219">
        <f t="shared" si="13"/>
        <v>0</v>
      </c>
      <c r="S219" s="156">
        <f t="shared" si="14"/>
        <v>0</v>
      </c>
    </row>
    <row r="220" spans="2:19">
      <c r="B220" s="1151"/>
      <c r="Q220">
        <f t="shared" ca="1" si="12"/>
        <v>100.00000000000007</v>
      </c>
      <c r="R220">
        <f t="shared" si="13"/>
        <v>0</v>
      </c>
      <c r="S220" s="156">
        <f t="shared" si="14"/>
        <v>0</v>
      </c>
    </row>
    <row r="221" spans="2:19">
      <c r="B221" s="1151"/>
      <c r="Q221">
        <f t="shared" ca="1" si="12"/>
        <v>100.00000000000007</v>
      </c>
      <c r="R221">
        <f t="shared" si="13"/>
        <v>0</v>
      </c>
      <c r="S221" s="156">
        <f t="shared" si="14"/>
        <v>0</v>
      </c>
    </row>
    <row r="222" spans="2:19">
      <c r="B222" s="1151"/>
      <c r="Q222">
        <f t="shared" ca="1" si="12"/>
        <v>100.00000000000007</v>
      </c>
      <c r="R222">
        <f t="shared" si="13"/>
        <v>0</v>
      </c>
      <c r="S222" s="156">
        <f t="shared" si="14"/>
        <v>0</v>
      </c>
    </row>
    <row r="223" spans="2:19">
      <c r="B223" s="1151"/>
      <c r="Q223">
        <f t="shared" ca="1" si="12"/>
        <v>100.00000000000007</v>
      </c>
      <c r="R223">
        <f t="shared" si="13"/>
        <v>0</v>
      </c>
      <c r="S223" s="156">
        <f t="shared" si="14"/>
        <v>0</v>
      </c>
    </row>
    <row r="224" spans="2:19">
      <c r="B224" s="1151"/>
    </row>
    <row r="225" spans="2:2">
      <c r="B225" s="1151"/>
    </row>
    <row r="226" spans="2:2">
      <c r="B226" s="1151"/>
    </row>
    <row r="227" spans="2:2">
      <c r="B227" s="1151"/>
    </row>
    <row r="228" spans="2:2">
      <c r="B228" s="1151"/>
    </row>
  </sheetData>
  <customSheetViews>
    <customSheetView guid="{54A7C567-FA7D-467E-B353-ECB5E61AE756}" scale="85" topLeftCell="A4">
      <selection activeCell="I30" sqref="I30"/>
      <pageMargins left="0" right="0" top="0" bottom="0" header="0" footer="0"/>
    </customSheetView>
  </customSheetView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77529-318E-456C-9722-99EF4D278577}">
  <sheetPr codeName="Feuil11">
    <tabColor theme="8" tint="0.39997558519241921"/>
  </sheetPr>
  <dimension ref="A1:AB213"/>
  <sheetViews>
    <sheetView workbookViewId="0"/>
  </sheetViews>
  <sheetFormatPr baseColWidth="10" defaultColWidth="11" defaultRowHeight="15.75"/>
  <cols>
    <col min="1" max="1" width="41.75" customWidth="1"/>
    <col min="2" max="2" width="15.25" customWidth="1"/>
    <col min="5" max="5" width="21.375" customWidth="1"/>
    <col min="6" max="6" width="15.875" customWidth="1"/>
    <col min="8" max="8" width="14" customWidth="1"/>
    <col min="12" max="13" width="18" customWidth="1"/>
    <col min="14" max="14" width="41.25" bestFit="1" customWidth="1"/>
    <col min="15" max="15" width="13.25" bestFit="1" customWidth="1"/>
    <col min="16" max="16" width="20.25" customWidth="1"/>
    <col min="17" max="17" width="30.25" bestFit="1" customWidth="1"/>
    <col min="18" max="18" width="16.75" customWidth="1"/>
    <col min="19" max="19" width="18.875" customWidth="1"/>
    <col min="21" max="21" width="36.75" bestFit="1" customWidth="1"/>
    <col min="24" max="24" width="255.5" bestFit="1" customWidth="1"/>
  </cols>
  <sheetData>
    <row r="1" spans="1:28" s="811" customFormat="1" ht="24" thickBot="1">
      <c r="A1" s="823" t="s">
        <v>288</v>
      </c>
      <c r="B1" s="174"/>
      <c r="C1" s="174"/>
      <c r="D1" s="174"/>
      <c r="E1" s="174"/>
      <c r="F1" s="174"/>
      <c r="G1" s="174"/>
      <c r="H1" s="174"/>
      <c r="I1" s="174"/>
      <c r="J1"/>
      <c r="K1"/>
      <c r="L1"/>
      <c r="M1"/>
      <c r="N1" s="1173" t="s">
        <v>289</v>
      </c>
      <c r="O1" s="978"/>
      <c r="P1" s="1174"/>
      <c r="Q1" s="1174"/>
      <c r="R1" s="978"/>
      <c r="U1" s="1298" t="s">
        <v>3929</v>
      </c>
      <c r="V1" s="174"/>
      <c r="W1" s="174"/>
      <c r="X1" s="175"/>
      <c r="Z1" s="978"/>
      <c r="AA1" s="1173" t="s">
        <v>290</v>
      </c>
      <c r="AB1" s="978"/>
    </row>
    <row r="2" spans="1:28" ht="15.75" customHeight="1">
      <c r="A2" s="1892" t="s">
        <v>291</v>
      </c>
      <c r="B2" s="1895" t="s">
        <v>3864</v>
      </c>
      <c r="C2" s="1895" t="s">
        <v>3824</v>
      </c>
      <c r="D2" s="1895" t="s">
        <v>292</v>
      </c>
      <c r="E2" s="1320" t="s">
        <v>293</v>
      </c>
      <c r="F2" s="1321"/>
      <c r="G2" s="1895" t="s">
        <v>3939</v>
      </c>
      <c r="H2" s="1903" t="s">
        <v>294</v>
      </c>
      <c r="I2" s="1900" t="s">
        <v>295</v>
      </c>
      <c r="J2" s="1895" t="s">
        <v>3993</v>
      </c>
      <c r="K2" s="1903" t="s">
        <v>3994</v>
      </c>
      <c r="L2" s="1900" t="s">
        <v>3995</v>
      </c>
      <c r="M2" s="1550"/>
      <c r="N2" s="289" t="s">
        <v>296</v>
      </c>
      <c r="O2" s="174"/>
      <c r="P2" s="175"/>
      <c r="U2" s="254" t="s">
        <v>3925</v>
      </c>
      <c r="W2" s="158">
        <f>C20</f>
        <v>6231.3682868200103</v>
      </c>
      <c r="X2" s="156" t="s">
        <v>186</v>
      </c>
    </row>
    <row r="3" spans="1:28">
      <c r="A3" s="1893"/>
      <c r="B3" s="1896"/>
      <c r="C3" s="1896"/>
      <c r="D3" s="1896"/>
      <c r="E3" s="1896" t="s">
        <v>297</v>
      </c>
      <c r="F3" s="1896" t="s">
        <v>298</v>
      </c>
      <c r="G3" s="1896"/>
      <c r="H3" s="1904"/>
      <c r="I3" s="1901"/>
      <c r="J3" s="1896"/>
      <c r="K3" s="1904"/>
      <c r="L3" s="1901"/>
      <c r="M3" s="1549"/>
      <c r="N3" s="254" t="s">
        <v>299</v>
      </c>
      <c r="O3" s="1252">
        <v>450</v>
      </c>
      <c r="P3" s="156" t="s">
        <v>300</v>
      </c>
      <c r="U3" s="254" t="s">
        <v>3975</v>
      </c>
      <c r="V3" s="1369"/>
      <c r="W3" s="252">
        <f>SUM(C11,C12,C14,C15,C16)/2+C13</f>
        <v>2547.4074074074074</v>
      </c>
      <c r="X3" s="156" t="s">
        <v>186</v>
      </c>
      <c r="Z3" t="s">
        <v>301</v>
      </c>
    </row>
    <row r="4" spans="1:28">
      <c r="A4" s="1893"/>
      <c r="B4" s="1896"/>
      <c r="C4" s="1896"/>
      <c r="D4" s="1896"/>
      <c r="E4" s="1896"/>
      <c r="F4" s="1896"/>
      <c r="G4" s="1896"/>
      <c r="H4" s="1904"/>
      <c r="I4" s="1901"/>
      <c r="J4" s="1896"/>
      <c r="K4" s="1904"/>
      <c r="L4" s="1901"/>
      <c r="M4" s="1549"/>
      <c r="N4" s="254"/>
      <c r="P4" s="156"/>
      <c r="U4" s="254" t="s">
        <v>3923</v>
      </c>
      <c r="V4" s="1369"/>
      <c r="W4" s="252">
        <f>SUM(C11,C12,C14,C15,C16)/2+C10</f>
        <v>3683.9608794126029</v>
      </c>
      <c r="X4" s="156" t="s">
        <v>186</v>
      </c>
      <c r="Z4" t="s">
        <v>302</v>
      </c>
    </row>
    <row r="5" spans="1:28">
      <c r="A5" s="1893"/>
      <c r="B5" s="1896"/>
      <c r="C5" s="1896"/>
      <c r="D5" s="1896"/>
      <c r="E5" s="1896"/>
      <c r="F5" s="1896"/>
      <c r="G5" s="1896"/>
      <c r="H5" s="1904"/>
      <c r="I5" s="1901"/>
      <c r="J5" s="1896"/>
      <c r="K5" s="1904"/>
      <c r="L5" s="1901"/>
      <c r="M5" s="1549"/>
      <c r="N5" s="254" t="s">
        <v>303</v>
      </c>
      <c r="O5">
        <f>O3*'Outil simplifié'!J20</f>
        <v>900</v>
      </c>
      <c r="P5" s="156" t="s">
        <v>186</v>
      </c>
      <c r="U5" s="254"/>
      <c r="X5" s="156"/>
      <c r="Z5" t="s">
        <v>304</v>
      </c>
    </row>
    <row r="6" spans="1:28">
      <c r="A6" s="1893"/>
      <c r="B6" s="1896"/>
      <c r="C6" s="1896"/>
      <c r="D6" s="1896"/>
      <c r="E6" s="1896"/>
      <c r="F6" s="1896"/>
      <c r="G6" s="1896"/>
      <c r="H6" s="1904"/>
      <c r="I6" s="1901"/>
      <c r="J6" s="1896"/>
      <c r="K6" s="1904"/>
      <c r="L6" s="1901"/>
      <c r="M6" s="1549"/>
      <c r="N6" s="1271" t="s">
        <v>305</v>
      </c>
      <c r="O6" s="1252">
        <f>60%*C40</f>
        <v>9.6</v>
      </c>
      <c r="P6" s="156" t="s">
        <v>306</v>
      </c>
      <c r="U6" s="254" t="s">
        <v>3926</v>
      </c>
      <c r="W6">
        <f>O12*'Outil simplifié'!J18</f>
        <v>0</v>
      </c>
      <c r="X6" s="156" t="s">
        <v>186</v>
      </c>
      <c r="Z6" t="s">
        <v>307</v>
      </c>
      <c r="AA6">
        <v>1.012</v>
      </c>
      <c r="AB6" t="s">
        <v>308</v>
      </c>
    </row>
    <row r="7" spans="1:28" ht="16.5" thickBot="1">
      <c r="A7" s="1893"/>
      <c r="B7" s="1896"/>
      <c r="C7" s="1896"/>
      <c r="D7" s="1896"/>
      <c r="E7" s="1896"/>
      <c r="F7" s="1896"/>
      <c r="G7" s="1896"/>
      <c r="H7" s="1904"/>
      <c r="I7" s="1901"/>
      <c r="J7" s="1896"/>
      <c r="K7" s="1904"/>
      <c r="L7" s="1901"/>
      <c r="M7" s="1549"/>
      <c r="N7" s="255" t="s">
        <v>309</v>
      </c>
      <c r="O7" s="1261">
        <f>IF(O5/'Outil simplifié'!D12&gt;O6,O6,O5/'Outil simplifié'!D12)</f>
        <v>5.625</v>
      </c>
      <c r="P7" s="172" t="s">
        <v>306</v>
      </c>
      <c r="U7" s="254"/>
      <c r="X7" s="156"/>
      <c r="Z7" t="s">
        <v>310</v>
      </c>
      <c r="AA7">
        <v>0.45</v>
      </c>
    </row>
    <row r="8" spans="1:28">
      <c r="A8" s="1893"/>
      <c r="B8" s="1896"/>
      <c r="C8" s="1896"/>
      <c r="D8" s="1896"/>
      <c r="E8" s="1896"/>
      <c r="F8" s="1896"/>
      <c r="G8" s="1896"/>
      <c r="H8" s="1904"/>
      <c r="I8" s="1901"/>
      <c r="J8" s="1896"/>
      <c r="K8" s="1904"/>
      <c r="L8" s="1901"/>
      <c r="M8" s="1549"/>
      <c r="U8" s="254"/>
      <c r="V8" t="s">
        <v>3852</v>
      </c>
      <c r="W8" s="1370">
        <f>W6/W2</f>
        <v>0</v>
      </c>
      <c r="X8" s="156" t="s">
        <v>3851</v>
      </c>
    </row>
    <row r="9" spans="1:28" ht="16.5" thickBot="1">
      <c r="A9" s="1894"/>
      <c r="B9" s="1897"/>
      <c r="C9" s="1897"/>
      <c r="D9" s="1897"/>
      <c r="E9" s="1897"/>
      <c r="F9" s="1897"/>
      <c r="G9" s="1897"/>
      <c r="H9" s="1905"/>
      <c r="I9" s="1902"/>
      <c r="J9" s="1897"/>
      <c r="K9" s="1905"/>
      <c r="L9" s="1902"/>
      <c r="M9" s="1549"/>
      <c r="P9" s="156"/>
      <c r="U9" s="254"/>
      <c r="V9" t="s">
        <v>3854</v>
      </c>
      <c r="W9">
        <f>IF('Outil simplifié'!D9=Liste!A5,0.6,0.5)</f>
        <v>0.5</v>
      </c>
      <c r="X9" s="156" t="s">
        <v>3853</v>
      </c>
    </row>
    <row r="10" spans="1:28">
      <c r="A10" s="254" t="s">
        <v>334</v>
      </c>
      <c r="B10" s="158">
        <f>'Calcul Energie'!E108*'Outil simplifié'!D12</f>
        <v>5507.3157632161065</v>
      </c>
      <c r="C10" s="158">
        <f>B10*O29</f>
        <v>1776.5534720051955</v>
      </c>
      <c r="D10" s="158"/>
      <c r="E10" s="158">
        <f t="shared" ref="E10:E16" si="0">-E$18*C10/C$20</f>
        <v>0</v>
      </c>
      <c r="F10" s="158">
        <f>C10-E10</f>
        <v>1776.5534720051955</v>
      </c>
      <c r="G10" s="158">
        <f t="shared" ref="G10:G16" si="1">F10*$C$73</f>
        <v>222.06918400064944</v>
      </c>
      <c r="H10" s="256">
        <f>G10/'Outil simplifié'!$D$12</f>
        <v>1.3879324000040589</v>
      </c>
      <c r="I10" s="275">
        <f>B10/$R$29*$Q$29/'Outil simplifié'!D12+H10+I23</f>
        <v>2.0634324000040589</v>
      </c>
      <c r="J10" s="158">
        <f t="shared" ref="J10:J16" si="2">F10*$D$73</f>
        <v>3695.2312217708068</v>
      </c>
      <c r="K10" s="256">
        <f>J10/'Outil simplifié'!$D$12</f>
        <v>23.095195136067542</v>
      </c>
      <c r="L10" s="275">
        <f>B10/$R$29*$Q$29/'Outil simplifié'!D12+K10</f>
        <v>23.095195136067542</v>
      </c>
      <c r="M10" s="256"/>
      <c r="N10" s="289" t="s">
        <v>311</v>
      </c>
      <c r="O10" s="174"/>
      <c r="P10" s="175"/>
      <c r="U10" s="254" t="s">
        <v>3924</v>
      </c>
      <c r="V10" t="s">
        <v>3855</v>
      </c>
      <c r="W10" s="1370">
        <f>W3/(W4+W3)</f>
        <v>0.40880385978717354</v>
      </c>
      <c r="X10" s="156" t="s">
        <v>3856</v>
      </c>
      <c r="Z10" t="s">
        <v>312</v>
      </c>
    </row>
    <row r="11" spans="1:28">
      <c r="A11" s="254" t="s">
        <v>3799</v>
      </c>
      <c r="B11" s="158">
        <f>('Outil détaillé'!K78-O7)*'Outil simplifié'!$D$12</f>
        <v>1660</v>
      </c>
      <c r="C11" s="158">
        <f>B11*P29</f>
        <v>614.81481481481478</v>
      </c>
      <c r="D11" s="158"/>
      <c r="E11" s="158">
        <f t="shared" si="0"/>
        <v>0</v>
      </c>
      <c r="F11" s="158">
        <f t="shared" ref="F11:F16" si="3">C11-E11</f>
        <v>614.81481481481478</v>
      </c>
      <c r="G11" s="158">
        <f t="shared" si="1"/>
        <v>76.851851851851848</v>
      </c>
      <c r="H11" s="256">
        <f>G11/'Outil simplifié'!$D$12</f>
        <v>0.48032407407407407</v>
      </c>
      <c r="I11" s="275">
        <f>B11/$R$29*$Q$29/'Outil simplifié'!D12+H11</f>
        <v>0.48032407407407407</v>
      </c>
      <c r="J11" s="158">
        <f t="shared" si="2"/>
        <v>1278.8148148148148</v>
      </c>
      <c r="K11" s="256">
        <f>J11/'Outil simplifié'!$D$12</f>
        <v>7.992592592592592</v>
      </c>
      <c r="L11" s="275">
        <f>B11/$R$29*$Q$29/'Outil simplifié'!D12+K11</f>
        <v>7.992592592592592</v>
      </c>
      <c r="M11" s="256"/>
      <c r="N11" s="294" t="s">
        <v>313</v>
      </c>
      <c r="O11" s="251">
        <f>140/1000</f>
        <v>0.14000000000000001</v>
      </c>
      <c r="P11" s="295" t="s">
        <v>314</v>
      </c>
      <c r="U11" s="254"/>
      <c r="V11" t="s">
        <v>3857</v>
      </c>
      <c r="W11">
        <v>0.75</v>
      </c>
      <c r="X11" s="156" t="s">
        <v>3860</v>
      </c>
      <c r="Z11" t="s">
        <v>315</v>
      </c>
      <c r="AA11">
        <v>0.14699999999999999</v>
      </c>
    </row>
    <row r="12" spans="1:28">
      <c r="A12" s="254" t="s">
        <v>254</v>
      </c>
      <c r="B12" s="158">
        <f>'Outil détaillé'!K79*'Outil simplifié'!$D$12</f>
        <v>480</v>
      </c>
      <c r="C12" s="158">
        <f>B12</f>
        <v>480</v>
      </c>
      <c r="D12" s="158"/>
      <c r="E12" s="158">
        <f t="shared" si="0"/>
        <v>0</v>
      </c>
      <c r="F12" s="158">
        <f>C12-E12</f>
        <v>480</v>
      </c>
      <c r="G12" s="158">
        <f t="shared" si="1"/>
        <v>60</v>
      </c>
      <c r="H12" s="256">
        <f>G12/'Outil simplifié'!$D$12</f>
        <v>0.375</v>
      </c>
      <c r="I12" s="275">
        <f>H12</f>
        <v>0.375</v>
      </c>
      <c r="J12" s="158">
        <f t="shared" si="2"/>
        <v>998.40000000000009</v>
      </c>
      <c r="K12" s="256">
        <f>J12/'Outil simplifié'!$D$12</f>
        <v>6.24</v>
      </c>
      <c r="L12" s="275">
        <f>K12</f>
        <v>6.24</v>
      </c>
      <c r="M12" s="256"/>
      <c r="N12" s="294" t="s">
        <v>316</v>
      </c>
      <c r="O12" s="1270">
        <v>950</v>
      </c>
      <c r="P12" s="295" t="s">
        <v>317</v>
      </c>
      <c r="Q12" s="820" t="s">
        <v>318</v>
      </c>
      <c r="U12" s="254"/>
      <c r="W12" s="1299"/>
      <c r="X12" s="156"/>
      <c r="Z12" t="s">
        <v>217</v>
      </c>
      <c r="AA12">
        <v>0.127</v>
      </c>
    </row>
    <row r="13" spans="1:28">
      <c r="A13" s="254" t="s">
        <v>324</v>
      </c>
      <c r="B13" s="158">
        <f>'Outil détaillé'!K80*'Outil simplifié'!$D$12</f>
        <v>640</v>
      </c>
      <c r="C13" s="158">
        <f t="shared" ref="C13:C16" si="4">B13</f>
        <v>640</v>
      </c>
      <c r="D13" s="158"/>
      <c r="E13" s="158">
        <f t="shared" si="0"/>
        <v>0</v>
      </c>
      <c r="F13" s="158">
        <f t="shared" si="3"/>
        <v>640</v>
      </c>
      <c r="G13" s="158">
        <f t="shared" si="1"/>
        <v>80</v>
      </c>
      <c r="H13" s="256">
        <f>G13/'Outil simplifié'!$D$12</f>
        <v>0.5</v>
      </c>
      <c r="I13" s="275">
        <f>H13</f>
        <v>0.5</v>
      </c>
      <c r="J13" s="158">
        <f t="shared" si="2"/>
        <v>1331.2</v>
      </c>
      <c r="K13" s="256">
        <f>J13/'Outil simplifié'!$D$12</f>
        <v>8.32</v>
      </c>
      <c r="L13" s="275">
        <f>K13</f>
        <v>8.32</v>
      </c>
      <c r="M13" s="256"/>
      <c r="N13" s="821" t="s">
        <v>3858</v>
      </c>
      <c r="O13" s="824">
        <f>-D17/SUM(C10:C16)</f>
        <v>0</v>
      </c>
      <c r="P13" s="156" t="s">
        <v>319</v>
      </c>
      <c r="Q13" s="151" t="s">
        <v>320</v>
      </c>
      <c r="U13" s="254"/>
      <c r="X13" s="156"/>
      <c r="Z13" t="s">
        <v>216</v>
      </c>
      <c r="AA13">
        <v>0.22800000000000001</v>
      </c>
    </row>
    <row r="14" spans="1:28">
      <c r="A14" s="254" t="s">
        <v>326</v>
      </c>
      <c r="B14" s="158">
        <f>'Outil détaillé'!K81*'Outil simplifié'!$D$12</f>
        <v>320</v>
      </c>
      <c r="C14" s="158">
        <f t="shared" si="4"/>
        <v>320</v>
      </c>
      <c r="D14" s="158"/>
      <c r="E14" s="158">
        <f t="shared" si="0"/>
        <v>0</v>
      </c>
      <c r="F14" s="158">
        <f t="shared" si="3"/>
        <v>320</v>
      </c>
      <c r="G14" s="158">
        <f t="shared" si="1"/>
        <v>40</v>
      </c>
      <c r="H14" s="256">
        <f>G14/'Outil simplifié'!$D$12</f>
        <v>0.25</v>
      </c>
      <c r="I14" s="275">
        <f>H14</f>
        <v>0.25</v>
      </c>
      <c r="J14" s="158">
        <f t="shared" si="2"/>
        <v>665.6</v>
      </c>
      <c r="K14" s="256">
        <f>J14/'Outil simplifié'!$D$12</f>
        <v>4.16</v>
      </c>
      <c r="L14" s="275">
        <f>K14</f>
        <v>4.16</v>
      </c>
      <c r="M14" s="256"/>
      <c r="N14" s="254" t="s">
        <v>321</v>
      </c>
      <c r="O14" s="1371">
        <f>IFERROR(IF(W8&lt;0.5,(MIN(1-0.5*W8,(2*W9*W10/W8)*(1-0.5*W11))),(2*W9*W10/W8)*(1-0.5*W11)),0)</f>
        <v>0</v>
      </c>
      <c r="P14" s="156"/>
      <c r="U14" s="254"/>
      <c r="X14" s="156"/>
    </row>
    <row r="15" spans="1:28" ht="16.5" thickBot="1">
      <c r="A15" s="254" t="s">
        <v>329</v>
      </c>
      <c r="B15" s="158">
        <f>'Outil détaillé'!K82*'Outil simplifié'!$D$12</f>
        <v>2400</v>
      </c>
      <c r="C15" s="158">
        <f t="shared" si="4"/>
        <v>2400</v>
      </c>
      <c r="D15" s="158"/>
      <c r="E15" s="158">
        <f t="shared" si="0"/>
        <v>0</v>
      </c>
      <c r="F15" s="158">
        <f t="shared" si="3"/>
        <v>2400</v>
      </c>
      <c r="G15" s="158">
        <f t="shared" si="1"/>
        <v>300</v>
      </c>
      <c r="H15" s="256">
        <f>G15/'Outil simplifié'!$D$12</f>
        <v>1.875</v>
      </c>
      <c r="I15" s="275">
        <f t="shared" ref="I15:I17" si="5">H15</f>
        <v>1.875</v>
      </c>
      <c r="J15" s="158">
        <f t="shared" si="2"/>
        <v>4992</v>
      </c>
      <c r="K15" s="256">
        <f>J15/'Outil simplifié'!$D$12</f>
        <v>31.2</v>
      </c>
      <c r="L15" s="275">
        <f t="shared" ref="L15:L17" si="6">K15</f>
        <v>31.2</v>
      </c>
      <c r="M15" s="256"/>
      <c r="N15" s="255" t="s">
        <v>323</v>
      </c>
      <c r="O15" s="287">
        <f>100%-O14</f>
        <v>1</v>
      </c>
      <c r="P15" s="172"/>
      <c r="U15" s="254"/>
      <c r="X15" s="156"/>
    </row>
    <row r="16" spans="1:28" ht="16.5" thickBot="1">
      <c r="A16" s="254" t="s">
        <v>330</v>
      </c>
      <c r="B16" s="158">
        <f>'Outil détaillé'!K83*'Outil simplifié'!$D$12</f>
        <v>0</v>
      </c>
      <c r="C16" s="158">
        <f t="shared" si="4"/>
        <v>0</v>
      </c>
      <c r="D16" s="158"/>
      <c r="E16" s="158">
        <f t="shared" si="0"/>
        <v>0</v>
      </c>
      <c r="F16" s="158">
        <f t="shared" si="3"/>
        <v>0</v>
      </c>
      <c r="G16" s="158">
        <f t="shared" si="1"/>
        <v>0</v>
      </c>
      <c r="H16" s="256">
        <f>G16/'Outil simplifié'!$D$12</f>
        <v>0</v>
      </c>
      <c r="I16" s="275">
        <f t="shared" si="5"/>
        <v>0</v>
      </c>
      <c r="J16" s="158">
        <f t="shared" si="2"/>
        <v>0</v>
      </c>
      <c r="K16" s="256">
        <f>J16/'Outil simplifié'!$D$12</f>
        <v>0</v>
      </c>
      <c r="L16" s="275">
        <f t="shared" si="6"/>
        <v>0</v>
      </c>
      <c r="M16" s="256"/>
      <c r="U16" s="254"/>
      <c r="X16" s="156"/>
    </row>
    <row r="17" spans="1:24">
      <c r="A17" s="254" t="s">
        <v>237</v>
      </c>
      <c r="C17" s="158"/>
      <c r="D17" s="158">
        <f>-O12*'Outil simplifié'!J18</f>
        <v>0</v>
      </c>
      <c r="E17" s="158"/>
      <c r="F17" s="158">
        <f>D17-E18</f>
        <v>0</v>
      </c>
      <c r="G17" s="158"/>
      <c r="H17" s="256">
        <f>$C$75*F17/'Outil simplifié'!D12</f>
        <v>0</v>
      </c>
      <c r="I17" s="275">
        <f t="shared" si="5"/>
        <v>0</v>
      </c>
      <c r="J17" s="158"/>
      <c r="K17" s="256">
        <f>$D$75*F17/'Outil simplifié'!D12</f>
        <v>0</v>
      </c>
      <c r="L17" s="275">
        <f t="shared" si="6"/>
        <v>0</v>
      </c>
      <c r="M17" s="256"/>
      <c r="N17" s="253" t="s">
        <v>325</v>
      </c>
      <c r="O17" s="174"/>
      <c r="P17" s="175"/>
      <c r="U17" s="254"/>
      <c r="X17" s="156"/>
    </row>
    <row r="18" spans="1:24">
      <c r="A18" s="254" t="s">
        <v>3838</v>
      </c>
      <c r="C18" s="158"/>
      <c r="D18" s="158"/>
      <c r="E18" s="158">
        <f>IF(O13&lt;4,D17*O14,-C20*0.9)</f>
        <v>0</v>
      </c>
      <c r="F18" s="158"/>
      <c r="G18" s="158"/>
      <c r="H18" s="256"/>
      <c r="I18" s="275"/>
      <c r="J18" s="158"/>
      <c r="K18" s="256"/>
      <c r="L18" s="275"/>
      <c r="M18" s="256"/>
      <c r="N18" s="254"/>
      <c r="O18" s="1252">
        <v>0.5</v>
      </c>
      <c r="P18" s="156" t="s">
        <v>327</v>
      </c>
      <c r="U18" s="254"/>
      <c r="X18" s="156"/>
    </row>
    <row r="19" spans="1:24" ht="16.5" thickBot="1">
      <c r="A19" s="1323"/>
      <c r="B19" s="646"/>
      <c r="C19" s="646"/>
      <c r="D19" s="646"/>
      <c r="E19" s="646"/>
      <c r="F19" s="646"/>
      <c r="G19" s="646"/>
      <c r="H19" s="646"/>
      <c r="I19" s="1324"/>
      <c r="J19" s="646"/>
      <c r="K19" s="646"/>
      <c r="L19" s="1324"/>
      <c r="M19" s="252"/>
      <c r="N19" s="255"/>
      <c r="O19" s="1261">
        <f>IF(ISBLANK('Outil simplifié'!$J$14),O18*'Outil simplifié'!$D$12,'Outil simplifié'!$J$14)</f>
        <v>300</v>
      </c>
      <c r="P19" s="1258" t="s">
        <v>328</v>
      </c>
      <c r="U19" s="254"/>
      <c r="X19" s="156"/>
    </row>
    <row r="20" spans="1:24" ht="17.25" thickTop="1" thickBot="1">
      <c r="A20" s="255" t="s">
        <v>242</v>
      </c>
      <c r="B20" s="1318">
        <f>SUM(B10:B16)</f>
        <v>11007.315763216106</v>
      </c>
      <c r="C20" s="1318">
        <f>SUM(C10:C16)</f>
        <v>6231.3682868200103</v>
      </c>
      <c r="D20" s="1319"/>
      <c r="E20" s="1318">
        <f>SUM(E10:E16)</f>
        <v>0</v>
      </c>
      <c r="F20" s="171"/>
      <c r="G20" s="171"/>
      <c r="H20" s="1319">
        <f>SUM(H10:H18)</f>
        <v>4.8682564740781329</v>
      </c>
      <c r="I20" s="1322">
        <f>SUM(I10:I18)</f>
        <v>5.5437564740781333</v>
      </c>
      <c r="J20" s="171"/>
      <c r="K20" s="1319">
        <f>SUM(K10:K18)</f>
        <v>81.007787728660134</v>
      </c>
      <c r="L20" s="1322">
        <f>SUM(L10:L18)</f>
        <v>81.007787728660134</v>
      </c>
      <c r="M20" s="252"/>
      <c r="U20" s="254"/>
      <c r="X20" s="156"/>
    </row>
    <row r="21" spans="1:24">
      <c r="N21" s="253" t="s">
        <v>331</v>
      </c>
      <c r="O21" s="174" t="s">
        <v>3971</v>
      </c>
      <c r="P21" s="988" t="s">
        <v>3970</v>
      </c>
      <c r="Q21" s="175" t="s">
        <v>332</v>
      </c>
      <c r="U21" s="254"/>
      <c r="X21" s="156"/>
    </row>
    <row r="22" spans="1:24">
      <c r="L22" s="252"/>
      <c r="M22" s="252"/>
      <c r="N22" s="1254" t="s">
        <v>81</v>
      </c>
      <c r="O22" s="1253">
        <f>$F$78</f>
        <v>3.1</v>
      </c>
      <c r="P22" s="1273">
        <f>$G$78</f>
        <v>2.7</v>
      </c>
      <c r="Q22" s="1260">
        <v>0</v>
      </c>
      <c r="R22" s="1272" t="s">
        <v>3823</v>
      </c>
      <c r="U22" s="254"/>
      <c r="X22" s="156"/>
    </row>
    <row r="23" spans="1:24">
      <c r="A23" t="s">
        <v>4441</v>
      </c>
      <c r="I23" s="256">
        <f>PAC!A15*0.02*_xlfn.XLOOKUP('Outil détaillé'!F63,PAC!B3:B8,PAC!E3:E8)/'Outil simplifié'!D12</f>
        <v>0.67549999999999999</v>
      </c>
      <c r="L23" s="252"/>
      <c r="M23" s="252"/>
      <c r="N23" s="1254" t="s">
        <v>195</v>
      </c>
      <c r="O23" s="1253">
        <f>$F$79</f>
        <v>2.2999999999999998</v>
      </c>
      <c r="P23" s="1273">
        <f>$G$79</f>
        <v>2.2999999999999998</v>
      </c>
      <c r="Q23" s="1260">
        <v>0</v>
      </c>
      <c r="R23" s="1272" t="s">
        <v>3823</v>
      </c>
      <c r="U23" s="254"/>
      <c r="X23" s="156"/>
    </row>
    <row r="24" spans="1:24">
      <c r="N24" s="1254" t="s">
        <v>200</v>
      </c>
      <c r="O24" s="1253">
        <v>0</v>
      </c>
      <c r="P24" s="1273">
        <v>0</v>
      </c>
      <c r="Q24" s="1259">
        <f>IF(ISBLANK('Outil simplifié'!J16),$C$76,'Outil simplifié'!J16)</f>
        <v>6.5799999999999997E-2</v>
      </c>
      <c r="U24" s="254"/>
      <c r="X24" s="156"/>
    </row>
    <row r="25" spans="1:24" ht="16.5" thickBot="1">
      <c r="L25" s="252"/>
      <c r="M25" s="252"/>
      <c r="N25" s="1255" t="s">
        <v>203</v>
      </c>
      <c r="O25" s="1261">
        <f>(B10+B11)/'Outil simplifié'!D12</f>
        <v>44.795723520100665</v>
      </c>
      <c r="P25" s="1274">
        <f>(B10+B11)/'Outil simplifié'!D12</f>
        <v>44.795723520100665</v>
      </c>
      <c r="Q25" s="1258" cm="1">
        <f t="array" ref="Q25">_xlfn.SWITCH('Outil simplifié'!$J$15,$A$81,$C$81,$A$82,$C$82,$A$83,$C$83,$A$85,$C$85)</f>
        <v>0.32400000000000001</v>
      </c>
      <c r="R25" t="s">
        <v>3972</v>
      </c>
      <c r="U25" s="254"/>
      <c r="X25" s="156"/>
    </row>
    <row r="26" spans="1:24">
      <c r="C26" s="158"/>
      <c r="D26" s="252"/>
      <c r="E26" s="158"/>
      <c r="H26" s="252"/>
      <c r="I26" s="252"/>
      <c r="J26" s="252"/>
      <c r="K26" s="252"/>
      <c r="L26" s="252"/>
      <c r="M26" s="252"/>
      <c r="U26" s="254"/>
      <c r="X26" s="156"/>
    </row>
    <row r="27" spans="1:24" ht="16.5" thickBot="1">
      <c r="C27" s="252"/>
      <c r="D27" s="252"/>
      <c r="E27" s="158"/>
      <c r="F27" s="1263"/>
      <c r="G27" s="252"/>
      <c r="H27" s="252"/>
      <c r="I27" s="252"/>
      <c r="J27" s="252"/>
      <c r="K27" s="252"/>
      <c r="L27" s="252"/>
      <c r="M27" s="252"/>
      <c r="O27" s="1898" t="s">
        <v>333</v>
      </c>
      <c r="P27" s="1899"/>
      <c r="R27" s="1890" t="s">
        <v>3848</v>
      </c>
      <c r="S27" s="1891"/>
      <c r="U27" s="254"/>
      <c r="X27" s="156"/>
    </row>
    <row r="28" spans="1:24">
      <c r="B28" s="1369"/>
      <c r="C28" s="256"/>
      <c r="D28" s="252"/>
      <c r="E28" s="158"/>
      <c r="F28" s="1263"/>
      <c r="H28" s="252"/>
      <c r="I28" s="252"/>
      <c r="J28" s="252"/>
      <c r="K28" s="252"/>
      <c r="L28" s="252"/>
      <c r="M28" s="252"/>
      <c r="N28" s="253" t="s">
        <v>3832</v>
      </c>
      <c r="O28" t="s">
        <v>334</v>
      </c>
      <c r="P28" s="1288" t="s">
        <v>335</v>
      </c>
      <c r="Q28" s="175" t="s">
        <v>332</v>
      </c>
      <c r="R28" s="156" t="s">
        <v>3843</v>
      </c>
      <c r="S28" t="s">
        <v>335</v>
      </c>
      <c r="U28" s="254"/>
      <c r="X28" s="156"/>
    </row>
    <row r="29" spans="1:24" ht="16.5" thickBot="1">
      <c r="B29" s="1576"/>
      <c r="C29" s="252"/>
      <c r="D29" s="252"/>
      <c r="E29" s="158"/>
      <c r="F29" s="1263"/>
      <c r="H29" s="252"/>
      <c r="I29" s="252"/>
      <c r="J29" s="252"/>
      <c r="K29" s="252"/>
      <c r="L29" s="252"/>
      <c r="M29" s="252"/>
      <c r="N29" s="1255" t="str">
        <f>'Outil simplifié'!$J$13&amp;IF('Outil simplifié'!$J$13=$N$25," / "&amp;'Outil simplifié'!$J$15,"")</f>
        <v>Pompe à chaleur (géothermique)</v>
      </c>
      <c r="O29" s="1256" cm="1">
        <f t="array" ref="O29">_xlfn.SWITCH('Outil simplifié'!$J$13,$N$22,1/$O$22,$N$23,1/$O$23,$N$24,$O$24,$N$25,1/$O$25)</f>
        <v>0.32258064516129031</v>
      </c>
      <c r="P29" s="1257" cm="1">
        <f t="array" ref="P29">_xlfn.SWITCH('Outil simplifié'!$J$13,$N$22,1/$P$22,$N$23,1/$P$23,$N$24,$P$24,$N$25,1/$P$25)</f>
        <v>0.37037037037037035</v>
      </c>
      <c r="Q29" s="1258" cm="1">
        <f t="array" ref="Q29">_xlfn.SWITCH('Outil simplifié'!$J$13,$N$22,$Q$22,$N$23,$Q$23,$N$24,$Q$24,$N$25,$Q$25)</f>
        <v>0</v>
      </c>
      <c r="R29" s="1258" cm="1">
        <f t="array" ref="R29">_xlfn.SWITCH('Outil simplifié'!$J$13,$N$22,1,$N$23,1,$N$24,$F$76,$N$25,_xlfn.SWITCH('Outil simplifié'!$J$15,$A$81,$F$81,$A$82,$F$82,$A$83,$F$83,$A$85,$F$85))</f>
        <v>1</v>
      </c>
      <c r="S29" s="1258" cm="1">
        <f t="array" ref="S29">_xlfn.SWITCH('Outil simplifié'!$J$13,$N$22,1,$N$23,1,$N$24,$G$76,$N$25,_xlfn.SWITCH('Outil simplifié'!$J$15,$A$81,$G$81,$A$82,$G$82,$A$83,$G$83,$A$85,$G$85))</f>
        <v>1</v>
      </c>
      <c r="U29" s="255"/>
      <c r="V29" s="171"/>
      <c r="W29" s="171"/>
      <c r="X29" s="172"/>
    </row>
    <row r="30" spans="1:24">
      <c r="D30" s="252"/>
      <c r="E30" s="158"/>
      <c r="F30" s="1263"/>
      <c r="H30" s="252"/>
      <c r="I30" s="252"/>
      <c r="J30" s="252"/>
      <c r="K30" s="252"/>
      <c r="L30" s="252"/>
      <c r="M30" s="252"/>
      <c r="O30" s="252"/>
      <c r="P30" s="252"/>
    </row>
    <row r="31" spans="1:24">
      <c r="D31" s="252"/>
      <c r="E31" s="158"/>
      <c r="F31" s="1263"/>
      <c r="H31" s="252"/>
      <c r="I31" s="252"/>
      <c r="J31" s="252"/>
      <c r="K31" s="252"/>
      <c r="L31" s="252"/>
      <c r="M31" s="252"/>
      <c r="O31" s="252"/>
      <c r="P31" s="252"/>
    </row>
    <row r="32" spans="1:24">
      <c r="D32" s="252"/>
      <c r="E32" s="158"/>
      <c r="F32" s="1263"/>
      <c r="H32" s="252"/>
      <c r="I32" s="252"/>
      <c r="J32" s="252"/>
      <c r="K32" s="252"/>
      <c r="L32" s="252"/>
      <c r="M32" s="252"/>
      <c r="O32" s="252"/>
      <c r="P32" s="252"/>
    </row>
    <row r="33" spans="1:13" s="646" customFormat="1" ht="16.5" thickBot="1">
      <c r="C33" s="822"/>
      <c r="F33" s="1263"/>
      <c r="I33" s="822"/>
      <c r="J33" s="822"/>
      <c r="K33" s="822"/>
      <c r="L33" s="822"/>
      <c r="M33" s="822"/>
    </row>
    <row r="34" spans="1:13" ht="16.5" thickTop="1">
      <c r="C34" s="252"/>
      <c r="J34" s="252"/>
      <c r="K34" s="252"/>
      <c r="L34" s="252"/>
      <c r="M34" s="252"/>
    </row>
    <row r="35" spans="1:13">
      <c r="C35" s="252"/>
      <c r="J35" s="252"/>
      <c r="K35" s="252"/>
      <c r="L35" s="252"/>
      <c r="M35" s="252"/>
    </row>
    <row r="36" spans="1:13" ht="18.75">
      <c r="A36" s="288" t="s">
        <v>3997</v>
      </c>
    </row>
    <row r="37" spans="1:13" ht="19.5" thickBot="1">
      <c r="A37" s="288" t="str">
        <f>"Habitat choisi : "&amp;'Outil simplifié'!$D$9</f>
        <v>Habitat choisi : Habitat collectif</v>
      </c>
      <c r="B37" s="1253" t="s">
        <v>4038</v>
      </c>
      <c r="C37" s="1253" t="s">
        <v>3828</v>
      </c>
      <c r="D37" s="1253" t="s">
        <v>3828</v>
      </c>
      <c r="E37" s="1253" t="s">
        <v>3828</v>
      </c>
    </row>
    <row r="38" spans="1:13" ht="19.5" thickBot="1">
      <c r="A38" s="1298" t="s">
        <v>3850</v>
      </c>
      <c r="B38" s="290" t="s">
        <v>100</v>
      </c>
      <c r="C38" s="291" t="s">
        <v>197</v>
      </c>
      <c r="D38" s="291" t="s">
        <v>202</v>
      </c>
      <c r="E38" s="292" t="s">
        <v>205</v>
      </c>
    </row>
    <row r="39" spans="1:13">
      <c r="A39" s="254" t="s">
        <v>3810</v>
      </c>
      <c r="B39" s="1311">
        <f>B$95</f>
        <v>52</v>
      </c>
      <c r="C39" s="1311">
        <f>C$95</f>
        <v>46.800000000000004</v>
      </c>
      <c r="D39" s="1311">
        <f t="shared" ref="D39:E39" si="7">D$95</f>
        <v>36.4</v>
      </c>
      <c r="E39" s="1262">
        <f t="shared" si="7"/>
        <v>46.800000000000004</v>
      </c>
      <c r="G39" s="1263"/>
    </row>
    <row r="40" spans="1:13">
      <c r="A40" s="254" t="s">
        <v>3812</v>
      </c>
      <c r="B40" s="1253" cm="1">
        <f t="array" ref="B40">IF('Outil simplifié'!$D$9=$B$137,$C143,(_xlfn.SWITCH('Outil simplifié'!$E$9,$B$121,$C127,$B$129,$C135)))</f>
        <v>16</v>
      </c>
      <c r="C40" s="1253" cm="1">
        <f t="array" ref="C40">IF('Outil simplifié'!$D$9=$B$137,$C143,(_xlfn.SWITCH('Outil simplifié'!$E$9,$B$121,$C127,$B$129,$C135)))</f>
        <v>16</v>
      </c>
      <c r="D40" s="1253" cm="1">
        <f t="array" ref="D40">IF('Outil simplifié'!$D$9=$B$137,$C143,(_xlfn.SWITCH('Outil simplifié'!$E$9,$B$121,$C127,$B$129,$C135)))</f>
        <v>16</v>
      </c>
      <c r="E40" s="1260" cm="1">
        <f t="array" ref="E40">IF('Outil simplifié'!$D$9=$B$137,$C143,(_xlfn.SWITCH('Outil simplifié'!$E$9,$B$121,$C127,$B$129,$C135)))</f>
        <v>16</v>
      </c>
      <c r="G40" t="s">
        <v>3826</v>
      </c>
      <c r="I40" t="s">
        <v>3825</v>
      </c>
    </row>
    <row r="41" spans="1:13">
      <c r="A41" s="254" t="s">
        <v>254</v>
      </c>
      <c r="B41" s="1253" cm="1">
        <f t="array" ref="B41">IF('Outil simplifié'!$D$9=$B$137,$C140,(_xlfn.SWITCH('Outil simplifié'!$E$9,$B$121,$C124,$B$129,$C132)))</f>
        <v>3</v>
      </c>
      <c r="C41" s="1253" cm="1">
        <f t="array" ref="C41">IF('Outil simplifié'!$D$9=$B$137,$C140,(_xlfn.SWITCH('Outil simplifié'!$E$9,$B$121,$C124,$B$129,$C132)))</f>
        <v>3</v>
      </c>
      <c r="D41" s="1253" cm="1">
        <f t="array" ref="D41">IF('Outil simplifié'!$D$9=$B$137,$C140,(_xlfn.SWITCH('Outil simplifié'!$E$9,$B$121,$C124,$B$129,$C132)))</f>
        <v>3</v>
      </c>
      <c r="E41" s="1260" cm="1">
        <f t="array" ref="E41">IF('Outil simplifié'!$D$9=$B$137,$C140,(_xlfn.SWITCH('Outil simplifié'!$E$9,$B$121,$C124,$B$129,$C132)))</f>
        <v>3</v>
      </c>
      <c r="H41" t="s">
        <v>3829</v>
      </c>
    </row>
    <row r="42" spans="1:13">
      <c r="A42" s="254" t="s">
        <v>324</v>
      </c>
      <c r="B42" s="1253" cm="1">
        <f t="array" ref="B42">IF('Outil simplifié'!$D$9=$B$137,$C141,(_xlfn.SWITCH('Outil simplifié'!$E$9,$B$121,$C125,$B$129,$C133)))</f>
        <v>4</v>
      </c>
      <c r="C42" s="1253" cm="1">
        <f t="array" ref="C42">IF('Outil simplifié'!$D$9=$B$137,$C141,(_xlfn.SWITCH('Outil simplifié'!$E$9,$B$121,$C125,$B$129,$C133)))</f>
        <v>4</v>
      </c>
      <c r="D42" s="1253" cm="1">
        <f t="array" ref="D42">IF('Outil simplifié'!$D$9=$B$137,$C141,(_xlfn.SWITCH('Outil simplifié'!$E$9,$B$121,$C125,$B$129,$C133)))</f>
        <v>4</v>
      </c>
      <c r="E42" s="1260" cm="1">
        <f t="array" ref="E42">IF('Outil simplifié'!$D$9=$B$137,$C141,(_xlfn.SWITCH('Outil simplifié'!$E$9,$B$121,$C125,$B$129,$C133)))</f>
        <v>4</v>
      </c>
    </row>
    <row r="43" spans="1:13">
      <c r="A43" s="254" t="s">
        <v>326</v>
      </c>
      <c r="B43" s="1253" cm="1">
        <f t="array" ref="B43">IF('Outil simplifié'!$D$9=$B$137,$C139,(_xlfn.SWITCH('Outil simplifié'!$E$9,$B$121,$C123,$B$129,$C131)))</f>
        <v>2</v>
      </c>
      <c r="C43" s="1253" cm="1">
        <f t="array" ref="C43">IF('Outil simplifié'!$D$9=$B$137,$C139,(_xlfn.SWITCH('Outil simplifié'!$E$9,$B$121,$C123,$B$129,$C131)))</f>
        <v>2</v>
      </c>
      <c r="D43" s="1253" cm="1">
        <f t="array" ref="D43">IF('Outil simplifié'!$D$9=$B$137,$C139,(_xlfn.SWITCH('Outil simplifié'!$E$9,$B$121,$C123,$B$129,$C131)))</f>
        <v>2</v>
      </c>
      <c r="E43" s="1260" cm="1">
        <f t="array" ref="E43">IF('Outil simplifié'!$D$9=$B$137,$C139,(_xlfn.SWITCH('Outil simplifié'!$E$9,$B$121,$C123,$B$129,$C131)))</f>
        <v>2</v>
      </c>
      <c r="G43" t="s">
        <v>3827</v>
      </c>
    </row>
    <row r="44" spans="1:13">
      <c r="A44" s="254" t="s">
        <v>355</v>
      </c>
      <c r="B44" s="1253" cm="1">
        <f t="array" ref="B44">IF('Outil simplifié'!$D$9=$B$137,$C138,(_xlfn.SWITCH('Outil simplifié'!$E$9,$B$121,$C122,$B$129,$C130)))</f>
        <v>15</v>
      </c>
      <c r="C44" s="1253" cm="1">
        <f t="array" ref="C44">IF('Outil simplifié'!$D$9=$B$137,$C138,(_xlfn.SWITCH('Outil simplifié'!$E$9,$B$121,$C122,$B$129,$C130)))</f>
        <v>15</v>
      </c>
      <c r="D44" s="1253" cm="1">
        <f t="array" ref="D44">IF('Outil simplifié'!$D$9=$B$137,$C138,(_xlfn.SWITCH('Outil simplifié'!$E$9,$B$121,$C122,$B$129,$C130)))</f>
        <v>15</v>
      </c>
      <c r="E44" s="1260" cm="1">
        <f t="array" ref="E44">IF('Outil simplifié'!$D$9=$B$137,$C138,(_xlfn.SWITCH('Outil simplifié'!$E$9,$B$121,$C122,$B$129,$C130)))</f>
        <v>15</v>
      </c>
      <c r="H44" t="s">
        <v>3830</v>
      </c>
    </row>
    <row r="45" spans="1:13" ht="16.5" thickBot="1">
      <c r="A45" s="255" t="s">
        <v>356</v>
      </c>
      <c r="B45" s="1261" cm="1">
        <f t="array" ref="B45">IF('Outil simplifié'!$D$9=$B$137,$C144,(_xlfn.SWITCH('Outil simplifié'!$E$9,$B$121,$C128,$B$129,$C136)))</f>
        <v>0</v>
      </c>
      <c r="C45" s="1261" cm="1">
        <f t="array" ref="C45">IF('Outil simplifié'!$D$9=$B$137,$C144,(_xlfn.SWITCH('Outil simplifié'!$E$9,$B$121,$C128,$B$129,$C136)))</f>
        <v>0</v>
      </c>
      <c r="D45" s="1261" cm="1">
        <f t="array" ref="D45">IF('Outil simplifié'!$D$9=$B$137,$C144,(_xlfn.SWITCH('Outil simplifié'!$E$9,$B$121,$C128,$B$129,$C136)))</f>
        <v>0</v>
      </c>
      <c r="E45" s="1258" cm="1">
        <f t="array" ref="E45">IF('Outil simplifié'!$D$9=$B$137,$C144,(_xlfn.SWITCH('Outil simplifié'!$E$9,$B$121,$C128,$B$129,$C136)))</f>
        <v>0</v>
      </c>
      <c r="G45" s="1263"/>
    </row>
    <row r="46" spans="1:13" ht="16.5" thickBot="1">
      <c r="A46" s="254"/>
      <c r="C46" s="252"/>
      <c r="D46" s="252"/>
      <c r="E46" s="252"/>
      <c r="G46" s="274"/>
    </row>
    <row r="47" spans="1:13" ht="16.5" thickBot="1">
      <c r="A47" s="290" t="s">
        <v>3835</v>
      </c>
      <c r="B47" s="1283">
        <f>IF('Outil simplifié'!$D$12*10/1000&lt;30,10,30*1000/'Outil simplifié'!$D$12)</f>
        <v>10</v>
      </c>
      <c r="C47" s="1283">
        <v>10</v>
      </c>
      <c r="D47" s="1283">
        <v>10</v>
      </c>
      <c r="E47" s="1284">
        <f>$C$20/'Outil simplifié'!D12/$O$12*1000</f>
        <v>40.995843992236907</v>
      </c>
      <c r="G47" s="274"/>
    </row>
    <row r="48" spans="1:13">
      <c r="A48" s="254"/>
      <c r="C48" s="252"/>
      <c r="D48" s="252"/>
      <c r="E48" s="252"/>
      <c r="G48" s="274"/>
    </row>
    <row r="49" spans="1:17" ht="16.5" thickBot="1">
      <c r="A49" s="296" t="s">
        <v>3820</v>
      </c>
    </row>
    <row r="50" spans="1:17">
      <c r="A50" s="253" t="s">
        <v>357</v>
      </c>
      <c r="B50" s="1275">
        <f>'Outil détaillé'!$K$77*$O$29</f>
        <v>15.096774193548388</v>
      </c>
      <c r="C50" s="1275">
        <f>'Outil détaillé'!$K$77*$O$29</f>
        <v>15.096774193548388</v>
      </c>
      <c r="D50" s="1275">
        <f>'Outil détaillé'!$K$77*$O$29</f>
        <v>15.096774193548388</v>
      </c>
      <c r="E50" s="1275">
        <f>'Outil détaillé'!$K$77*$O$29</f>
        <v>15.096774193548388</v>
      </c>
    </row>
    <row r="51" spans="1:17" ht="16.5" thickBot="1">
      <c r="A51" s="255" t="s">
        <v>358</v>
      </c>
      <c r="B51" s="1285">
        <f>(B40-$O$7)*$P$29</f>
        <v>3.8425925925925926</v>
      </c>
      <c r="C51" s="1285">
        <f>(C40-$O$7)*$P$29</f>
        <v>3.8425925925925926</v>
      </c>
      <c r="D51" s="1285">
        <f>(D40-$O$7)*$P$29</f>
        <v>3.8425925925925926</v>
      </c>
      <c r="E51" s="1317">
        <f>(E40-$O$7)*$P$29</f>
        <v>3.8425925925925926</v>
      </c>
    </row>
    <row r="52" spans="1:17" ht="16.5" thickBot="1">
      <c r="B52" s="256"/>
      <c r="C52" s="256"/>
      <c r="D52" s="256"/>
      <c r="E52" s="256"/>
    </row>
    <row r="53" spans="1:17">
      <c r="A53" s="289" t="s">
        <v>359</v>
      </c>
      <c r="B53" s="174" t="s">
        <v>100</v>
      </c>
      <c r="C53" s="174" t="s">
        <v>197</v>
      </c>
      <c r="D53" s="174" t="s">
        <v>202</v>
      </c>
      <c r="E53" s="175" t="s">
        <v>205</v>
      </c>
      <c r="F53" t="s">
        <v>3822</v>
      </c>
      <c r="G53" t="s">
        <v>3811</v>
      </c>
    </row>
    <row r="54" spans="1:17">
      <c r="A54" s="254" t="s">
        <v>322</v>
      </c>
      <c r="B54" s="1311">
        <f t="shared" ref="B54:E55" si="8">B50*$G$54</f>
        <v>30.193548387096776</v>
      </c>
      <c r="C54" s="1311">
        <f t="shared" si="8"/>
        <v>30.193548387096776</v>
      </c>
      <c r="D54" s="1311">
        <f t="shared" si="8"/>
        <v>30.193548387096776</v>
      </c>
      <c r="E54" s="1262">
        <f t="shared" si="8"/>
        <v>30.193548387096776</v>
      </c>
      <c r="G54">
        <f>$L$115</f>
        <v>2</v>
      </c>
      <c r="H54" t="str">
        <f>$I$115</f>
        <v>Electricité</v>
      </c>
      <c r="L54" s="252"/>
      <c r="M54" s="252"/>
      <c r="P54" s="273"/>
    </row>
    <row r="55" spans="1:17">
      <c r="A55" s="1314" t="s">
        <v>3814</v>
      </c>
      <c r="B55" s="1312">
        <f>B51*$G$54</f>
        <v>7.6851851851851851</v>
      </c>
      <c r="C55" s="1312">
        <f t="shared" si="8"/>
        <v>7.6851851851851851</v>
      </c>
      <c r="D55" s="1312">
        <f t="shared" si="8"/>
        <v>7.6851851851851851</v>
      </c>
      <c r="E55" s="1315">
        <f t="shared" si="8"/>
        <v>7.6851851851851851</v>
      </c>
      <c r="L55" s="252"/>
      <c r="M55" s="252"/>
      <c r="P55" s="273"/>
    </row>
    <row r="56" spans="1:17">
      <c r="A56" s="1159" t="s">
        <v>334</v>
      </c>
      <c r="B56" s="1313">
        <f>IFERROR((B39)*$G$56/$F$56,0)</f>
        <v>0</v>
      </c>
      <c r="C56" s="1313">
        <f t="shared" ref="C56:E56" si="9">IFERROR((C39)*$G$56/$F$56,0)</f>
        <v>0</v>
      </c>
      <c r="D56" s="1313">
        <f t="shared" si="9"/>
        <v>0</v>
      </c>
      <c r="E56" s="1316">
        <f t="shared" si="9"/>
        <v>0</v>
      </c>
      <c r="F56" cm="1">
        <f t="array" ref="F56">_xlfn.SWITCH('Outil simplifié'!$J$13,$N$22,0,$N$23,0,$N$24,1,$N$25,_xlfn.SWITCH('Outil simplifié'!$J$15,$A$81,$F$81,$A$82,$F$82,$A$83,$F$83,$A$85,$F$85))</f>
        <v>0</v>
      </c>
      <c r="G56" cm="1">
        <f t="array" ref="G56">_xlfn.SWITCH('Outil simplifié'!$J$13,$N$22,0,$N$23,$L$115,$N$24,$L$118,$N$25,_xlfn.SWITCH('Outil simplifié'!$J$15,$A$81,$L$116,$A$82,$L$116,$A$83,$L$117,$A$85,$L$117))</f>
        <v>0</v>
      </c>
      <c r="H56" t="str" cm="1">
        <f t="array" ref="H56">_xlfn.SWITCH('Outil simplifié'!$J$13,$N$22,$I$115,$N$23,$I$115,$N$24,$I$118,$N$25,_xlfn.SWITCH('Outil simplifié'!$J$15,$A$81,$I$116,$A$82,$I$116,$A$83,$I$117,$A$85,$I$117))</f>
        <v>Electricité</v>
      </c>
      <c r="L56" s="252"/>
      <c r="M56" s="252"/>
      <c r="P56" s="273"/>
    </row>
    <row r="57" spans="1:17">
      <c r="A57" s="1314" t="s">
        <v>335</v>
      </c>
      <c r="B57" s="1312">
        <f>IFERROR((B40-$O$7)*$G$56/$F$57,0)</f>
        <v>0</v>
      </c>
      <c r="C57" s="1312">
        <f>IFERROR((C40-$O$7)*$G$56/$F$57,0)</f>
        <v>0</v>
      </c>
      <c r="D57" s="1312">
        <f>IFERROR((D40-$O$7)*$G$56/$F$57,0)</f>
        <v>0</v>
      </c>
      <c r="E57" s="1315">
        <f>IFERROR((E40-$O$7)*$G$56/$F$57,0)</f>
        <v>0</v>
      </c>
      <c r="F57" cm="1">
        <f t="array" ref="F57">_xlfn.SWITCH('Outil simplifié'!$J$13,$N$22,0,$N$23,0,$N$24,1,$N$25,_xlfn.SWITCH('Outil simplifié'!$J$15,$A$81,$F$81,$A$82,$F$82,$A$83,$F$83,$A$85,$F$85))</f>
        <v>0</v>
      </c>
      <c r="L57" s="252"/>
      <c r="M57" s="252"/>
      <c r="P57" s="273"/>
    </row>
    <row r="58" spans="1:17">
      <c r="A58" s="254" t="s">
        <v>360</v>
      </c>
      <c r="B58" s="1311">
        <f>(B41+B42)*$G$54</f>
        <v>14</v>
      </c>
      <c r="C58" s="1311">
        <f>(C41+C42)*$G$54</f>
        <v>14</v>
      </c>
      <c r="D58" s="1311">
        <f>(D41+D42)*$G$54</f>
        <v>14</v>
      </c>
      <c r="E58" s="1262">
        <f>(E41+E42)*$G$54</f>
        <v>14</v>
      </c>
      <c r="L58" s="252"/>
      <c r="M58" s="252"/>
      <c r="P58" s="273"/>
      <c r="Q58" s="273"/>
    </row>
    <row r="59" spans="1:17">
      <c r="A59" s="254" t="s">
        <v>3815</v>
      </c>
      <c r="B59" s="1253">
        <f>(B43+B44+B45)*$G$54</f>
        <v>34</v>
      </c>
      <c r="C59" s="1253">
        <f>(C43+C44+C45)*$G$54</f>
        <v>34</v>
      </c>
      <c r="D59" s="1253">
        <f>(D43+D44+D45)*$G$54</f>
        <v>34</v>
      </c>
      <c r="E59" s="1260">
        <f>(E43+E44+E45)*$G$54</f>
        <v>34</v>
      </c>
      <c r="L59" s="252"/>
      <c r="M59" s="252"/>
    </row>
    <row r="60" spans="1:17" ht="16.5" thickBot="1">
      <c r="A60" s="254" t="s">
        <v>3817</v>
      </c>
      <c r="B60" s="1311">
        <f>IFERROR(($E$18/'Outil simplifié'!$D$12+$F$17/'Outil simplifié'!$D$12*0.4)*$G$54,0)</f>
        <v>0</v>
      </c>
      <c r="C60" s="1311">
        <f>IFERROR(($E$18/'Outil simplifié'!$D$12+$F$17/'Outil simplifié'!$D$12*0.4)*$G$54,0)</f>
        <v>0</v>
      </c>
      <c r="D60" s="1311">
        <f>IFERROR(($E$18/'Outil simplifié'!$D$12+$F$17/'Outil simplifié'!$D$12*0.4)*$G$54,0)</f>
        <v>0</v>
      </c>
      <c r="E60" s="1311">
        <f>IFERROR(($E$18/'Outil simplifié'!$D$12+$F$17/'Outil simplifié'!$D$12*0.4)*$G$54,0)</f>
        <v>0</v>
      </c>
      <c r="L60" s="252"/>
      <c r="M60" s="252"/>
      <c r="P60" s="273"/>
    </row>
    <row r="61" spans="1:17">
      <c r="A61" s="289" t="s">
        <v>3816</v>
      </c>
      <c r="B61" s="1278"/>
      <c r="C61" s="1278">
        <f>SUM(C54:C60)</f>
        <v>85.878733572281959</v>
      </c>
      <c r="D61" s="1278">
        <f>SUM(D54:D60)</f>
        <v>85.878733572281959</v>
      </c>
      <c r="E61" s="1279">
        <f>SUM(E54:E60)</f>
        <v>85.878733572281959</v>
      </c>
      <c r="L61" s="252"/>
      <c r="M61" s="252"/>
      <c r="P61" s="273"/>
    </row>
    <row r="62" spans="1:17" ht="16.5" thickBot="1">
      <c r="A62" s="255" t="s">
        <v>3818</v>
      </c>
      <c r="B62" s="171"/>
      <c r="C62" s="171" cm="1">
        <f t="array" ref="C62">_xlfn.SWITCH('Outil simplifié'!$D$9,$A$116,$B$116,$A$117,$B$117,$A$118,$B$118)</f>
        <v>51</v>
      </c>
      <c r="D62" s="171" cm="1">
        <f t="array" ref="D62">_xlfn.SWITCH('Outil simplifié'!$D$9,$A$116,$C$116,$A$117,$C$117,$A$118,$C$118)</f>
        <v>46</v>
      </c>
      <c r="E62" s="172" cm="1">
        <f t="array" ref="E62">_xlfn.SWITCH('Outil simplifié'!$D$9,$A$116,$D$116,$A$117,$D$117,$A$118,$D$118)</f>
        <v>29</v>
      </c>
      <c r="L62" s="252"/>
      <c r="M62" s="252"/>
    </row>
    <row r="63" spans="1:17" ht="18.75">
      <c r="A63" s="289" t="s">
        <v>3831</v>
      </c>
      <c r="B63" s="1278">
        <f>B54+B55+B56+B57+B58</f>
        <v>51.878733572281959</v>
      </c>
      <c r="C63" s="1278">
        <f t="shared" ref="C63:E63" si="10">C54+C55+C56+C57+C58</f>
        <v>51.878733572281959</v>
      </c>
      <c r="D63" s="1278">
        <f t="shared" si="10"/>
        <v>51.878733572281959</v>
      </c>
      <c r="E63" s="1279">
        <f t="shared" si="10"/>
        <v>51.878733572281959</v>
      </c>
      <c r="L63" s="252"/>
      <c r="M63" s="252"/>
    </row>
    <row r="64" spans="1:17" ht="19.5" thickBot="1">
      <c r="A64" s="255" t="s">
        <v>3819</v>
      </c>
      <c r="B64" s="171" cm="1">
        <f t="array" ref="B64">_xlfn.SWITCH('Outil simplifié'!$D$9,$A$116,$F$116,$A$117,$F$117,$A$118,$F$118)</f>
        <v>35</v>
      </c>
      <c r="C64" s="171" cm="1">
        <f t="array" ref="C64">_xlfn.SWITCH('Outil simplifié'!$D$9,$A$116,$F$116,$A$117,$F$117,$A$118,$F$118)</f>
        <v>35</v>
      </c>
      <c r="D64" s="171" cm="1">
        <f t="array" ref="D64">_xlfn.SWITCH('Outil simplifié'!$D$9,$A$116,$F$116,$A$117,$F$117,$A$118,$F$118)</f>
        <v>35</v>
      </c>
      <c r="E64" s="172" cm="1">
        <f t="array" ref="E64">_xlfn.SWITCH('Outil simplifié'!$D$9,$A$116,$F$116,$A$117,$F$117,$A$118,$F$118)</f>
        <v>35</v>
      </c>
      <c r="L64" s="252"/>
      <c r="M64" s="252"/>
    </row>
    <row r="65" spans="1:13">
      <c r="L65" s="252"/>
      <c r="M65" s="252"/>
    </row>
    <row r="66" spans="1:13">
      <c r="A66" t="s">
        <v>3836</v>
      </c>
      <c r="B66" s="256">
        <f>(B64-B58-B57-B55)/$G$54/$F$66</f>
        <v>20.637962962962963</v>
      </c>
      <c r="C66" s="256">
        <f t="shared" ref="C66:E66" si="11">(C64-C58-C57-C55)/$G$54/$F$66</f>
        <v>20.637962962962963</v>
      </c>
      <c r="D66" s="256">
        <f t="shared" si="11"/>
        <v>20.637962962962963</v>
      </c>
      <c r="E66" s="256">
        <f t="shared" si="11"/>
        <v>20.637962962962963</v>
      </c>
      <c r="F66" cm="1">
        <f t="array" ref="F66">_xlfn.SWITCH('Outil simplifié'!$J$13,Exploitation!N22,Exploitation!O29,Exploitation!N23,Exploitation!O29,Exploitation!N24,Exploitation!F56,Exploitation!N25,Exploitation!F56)</f>
        <v>0.32258064516129031</v>
      </c>
      <c r="L66" s="252"/>
      <c r="M66" s="252"/>
    </row>
    <row r="67" spans="1:13">
      <c r="A67" t="s">
        <v>3837</v>
      </c>
      <c r="B67" s="256"/>
      <c r="C67" s="256">
        <f>(C62-C55-C57-C58-C59-C60)/$G$54/$F$66</f>
        <v>-7.2620370370370342</v>
      </c>
      <c r="D67" s="256">
        <f t="shared" ref="D67:E67" si="12">(D62-D55-D57-D58-D59-D60)/$G$54/$F$66</f>
        <v>-15.012037037037034</v>
      </c>
      <c r="E67" s="256">
        <f t="shared" si="12"/>
        <v>-41.362037037037034</v>
      </c>
      <c r="L67" s="252"/>
      <c r="M67" s="252"/>
    </row>
    <row r="68" spans="1:13" s="646" customFormat="1" ht="16.5" thickBot="1">
      <c r="C68" s="822"/>
      <c r="I68" s="822"/>
      <c r="J68" s="822"/>
      <c r="K68" s="822"/>
      <c r="L68" s="822"/>
      <c r="M68" s="822"/>
    </row>
    <row r="69" spans="1:13" ht="16.5" thickTop="1">
      <c r="C69" s="252"/>
      <c r="I69" s="252"/>
      <c r="J69" s="252"/>
      <c r="K69" s="252"/>
      <c r="L69" s="252"/>
      <c r="M69" s="252"/>
    </row>
    <row r="70" spans="1:13" ht="16.5" thickBot="1">
      <c r="C70" s="252"/>
      <c r="I70" s="252"/>
      <c r="J70" s="252"/>
      <c r="K70" s="252"/>
      <c r="L70" s="252"/>
      <c r="M70" s="252"/>
    </row>
    <row r="71" spans="1:13" ht="16.5" thickBot="1">
      <c r="C71" s="252"/>
      <c r="F71" s="290" t="s">
        <v>3849</v>
      </c>
      <c r="G71" s="292"/>
      <c r="I71" s="252"/>
      <c r="J71" s="252"/>
      <c r="K71" s="252"/>
      <c r="L71" s="252"/>
      <c r="M71" s="252"/>
    </row>
    <row r="72" spans="1:13" ht="16.5" thickBot="1">
      <c r="A72" s="1291" t="s">
        <v>3844</v>
      </c>
      <c r="B72" s="291" t="s">
        <v>489</v>
      </c>
      <c r="C72" s="1292" t="s">
        <v>3992</v>
      </c>
      <c r="D72" t="s">
        <v>186</v>
      </c>
      <c r="E72" s="291"/>
      <c r="F72" s="291" t="s">
        <v>334</v>
      </c>
      <c r="G72" s="292" t="s">
        <v>335</v>
      </c>
      <c r="I72" s="252"/>
      <c r="J72" s="252"/>
      <c r="K72" s="252"/>
      <c r="L72" s="252"/>
      <c r="M72" s="252"/>
    </row>
    <row r="73" spans="1:13">
      <c r="A73" s="254" t="s">
        <v>3845</v>
      </c>
      <c r="B73" t="s">
        <v>3321</v>
      </c>
      <c r="C73" s="1290">
        <f>_xlfn.XLOOKUP($B73,'Energie Energie'!$A:$A,'Energie Energie'!$K:$K,"")</f>
        <v>0.125</v>
      </c>
      <c r="D73" s="1290">
        <f>_xlfn.XLOOKUP($B73,'Energie Energie'!$A:$A,'Energie Energie'!$I:$I,"")</f>
        <v>2.08</v>
      </c>
      <c r="E73" t="str">
        <f>_xlfn.XLOOKUP($B73,'Energie Energie'!$A:$A,'Energie Energie'!$M:$M,"")</f>
        <v>Mix consommateur CH</v>
      </c>
      <c r="G73" s="156"/>
      <c r="I73" s="252"/>
      <c r="J73" s="252"/>
      <c r="K73" s="252"/>
      <c r="L73" s="252"/>
      <c r="M73" s="252"/>
    </row>
    <row r="74" spans="1:13">
      <c r="A74" s="254" t="s">
        <v>3846</v>
      </c>
      <c r="B74" t="s">
        <v>3325</v>
      </c>
      <c r="C74" s="1286">
        <f>_xlfn.XLOOKUP($B74,'Energie Energie'!$A:$A,'Energie Energie'!$K:$K,"")</f>
        <v>3.2399999999999998E-2</v>
      </c>
      <c r="D74" s="1286">
        <f>_xlfn.XLOOKUP($B74,'Energie Energie'!$A:$A,'Energie Energie'!$I:$I,"")</f>
        <v>1.68</v>
      </c>
      <c r="E74" t="str">
        <f>_xlfn.XLOOKUP($B74,'Energie Energie'!$A:$A,'Energie Energie'!$M:$M,"")</f>
        <v>Mix de production CH</v>
      </c>
      <c r="G74" s="156"/>
      <c r="I74" s="252"/>
      <c r="J74" s="252"/>
      <c r="K74" s="252"/>
      <c r="L74" s="252"/>
      <c r="M74" s="252"/>
    </row>
    <row r="75" spans="1:13">
      <c r="A75" s="254" t="s">
        <v>3847</v>
      </c>
      <c r="B75" t="str">
        <f>IF(IF(ISBLANK('Outil simplifié'!D37),'Outil simplifié'!C37,'Outil simplifié'!D37)=Liste!G16,"46.002","46.003")</f>
        <v>46.003</v>
      </c>
      <c r="C75" s="1286">
        <f>_xlfn.XLOOKUP($B75,'Energie Energie'!$A:$A,'Energie Energie'!$K:$K,"")</f>
        <v>3.9E-2</v>
      </c>
      <c r="D75" s="1286">
        <f>_xlfn.XLOOKUP($B75,'Energie Energie'!$A:$A,'Energie Energie'!$I:$I,"")</f>
        <v>0.13900000000000001</v>
      </c>
      <c r="E75" t="str">
        <f>_xlfn.XLOOKUP($B75,'Energie Energie'!$A:$A,'Energie Energie'!$M:$M,"")</f>
        <v>Photovoltaïque toiture plate, mix de marché</v>
      </c>
      <c r="G75" s="156"/>
      <c r="H75" t="s">
        <v>3343</v>
      </c>
      <c r="L75" s="252"/>
      <c r="M75" s="252"/>
    </row>
    <row r="76" spans="1:13">
      <c r="A76" s="254" t="s">
        <v>200</v>
      </c>
      <c r="B76" t="s">
        <v>3109</v>
      </c>
      <c r="C76" s="1286">
        <f>_xlfn.XLOOKUP($B76,'Energie Energie'!$A:$A,'Energie Energie'!$K:$K,"")</f>
        <v>6.5799999999999997E-2</v>
      </c>
      <c r="D76" s="1286">
        <f>_xlfn.XLOOKUP($B76,'Energie Energie'!$A:$A,'Energie Energie'!$I:$I,"")</f>
        <v>0.33500000000000002</v>
      </c>
      <c r="E76" t="str">
        <f>_xlfn.XLOOKUP($B76,'Energie Energie'!$A:$A,'Energie Energie'!$M:$M,"")</f>
        <v>Chauffage à distance, moyenne réseaux CH</v>
      </c>
      <c r="F76">
        <v>1</v>
      </c>
      <c r="G76" s="156">
        <v>1</v>
      </c>
      <c r="I76" s="252"/>
      <c r="J76" s="252"/>
      <c r="K76" s="252"/>
    </row>
    <row r="77" spans="1:13">
      <c r="A77" s="296" t="s">
        <v>3842</v>
      </c>
      <c r="C77" s="1286"/>
      <c r="D77" s="1286"/>
      <c r="G77" s="156"/>
      <c r="I77" s="252"/>
      <c r="J77" s="252"/>
      <c r="K77" s="252"/>
    </row>
    <row r="78" spans="1:13">
      <c r="A78" s="254" t="s">
        <v>3840</v>
      </c>
      <c r="C78" s="1286"/>
      <c r="D78" s="1286"/>
      <c r="F78">
        <v>3.1</v>
      </c>
      <c r="G78" s="156">
        <v>2.7</v>
      </c>
      <c r="I78" s="252"/>
      <c r="J78" s="252"/>
      <c r="K78" s="252"/>
    </row>
    <row r="79" spans="1:13">
      <c r="A79" s="254" t="s">
        <v>3841</v>
      </c>
      <c r="C79" s="1286"/>
      <c r="D79" s="1286"/>
      <c r="F79">
        <v>2.2999999999999998</v>
      </c>
      <c r="G79" s="156">
        <v>2.2999999999999998</v>
      </c>
      <c r="I79" s="252"/>
      <c r="J79" s="252"/>
      <c r="K79" s="252"/>
    </row>
    <row r="80" spans="1:13">
      <c r="A80" s="296" t="s">
        <v>189</v>
      </c>
      <c r="C80" s="1286"/>
      <c r="D80" s="1286"/>
      <c r="G80" s="156"/>
      <c r="I80" s="252"/>
      <c r="J80" s="252"/>
      <c r="K80" s="252"/>
      <c r="L80" s="252"/>
      <c r="M80" s="252"/>
    </row>
    <row r="81" spans="1:15">
      <c r="A81" s="254" t="s">
        <v>201</v>
      </c>
      <c r="B81" t="s">
        <v>3002</v>
      </c>
      <c r="C81" s="1286">
        <f>_xlfn.XLOOKUP($B81,'Energie Energie'!$A:$A,'Energie Energie'!$K:$K,"")</f>
        <v>0.32400000000000001</v>
      </c>
      <c r="D81" s="1286">
        <f>_xlfn.XLOOKUP($B81,'Energie Energie'!$A:$A,'Energie Energie'!$I:$I,"")</f>
        <v>1.25</v>
      </c>
      <c r="E81" t="str">
        <f>_xlfn.XLOOKUP($B81,'Energie Energie'!$A:$A,'Energie Energie'!$M:$M,"")</f>
        <v>Mazout EL</v>
      </c>
      <c r="F81">
        <v>0.85</v>
      </c>
      <c r="G81" s="156">
        <v>0.85</v>
      </c>
      <c r="I81" s="252"/>
      <c r="J81" s="252"/>
      <c r="K81" s="252"/>
      <c r="L81" s="252"/>
      <c r="M81" s="252"/>
    </row>
    <row r="82" spans="1:15">
      <c r="A82" s="254" t="s">
        <v>204</v>
      </c>
      <c r="B82" t="s">
        <v>3007</v>
      </c>
      <c r="C82" s="1286">
        <f>_xlfn.XLOOKUP($B82,'Energie Energie'!$A:$A,'Energie Energie'!$K:$K,"")</f>
        <v>0.23</v>
      </c>
      <c r="D82" s="1286">
        <f>_xlfn.XLOOKUP($B82,'Energie Energie'!$A:$A,'Energie Energie'!$I:$I,"")</f>
        <v>1.05</v>
      </c>
      <c r="E82" t="str">
        <f>_xlfn.XLOOKUP($B82,'Energie Energie'!$A:$A,'Energie Energie'!$M:$M,"")</f>
        <v>Gaz naturel</v>
      </c>
      <c r="F82">
        <v>0.85</v>
      </c>
      <c r="G82" s="156">
        <v>0.85</v>
      </c>
      <c r="I82" s="252"/>
      <c r="J82" s="252"/>
      <c r="K82" s="252"/>
      <c r="L82" s="252"/>
      <c r="M82" s="252"/>
    </row>
    <row r="83" spans="1:15">
      <c r="A83" s="254" t="s">
        <v>196</v>
      </c>
      <c r="B83" t="s">
        <v>3022</v>
      </c>
      <c r="C83" s="1286">
        <f>_xlfn.XLOOKUP($B83,'Energie Energie'!$A:$A,'Energie Energie'!$K:$K,"")</f>
        <v>2.3E-2</v>
      </c>
      <c r="D83" s="1286">
        <f>_xlfn.XLOOKUP($B83,'Energie Energie'!$A:$A,'Energie Energie'!$I:$I,"")</f>
        <v>4.3900000000000002E-2</v>
      </c>
      <c r="E83" t="str">
        <f>_xlfn.XLOOKUP($B83,'Energie Energie'!$A:$A,'Energie Energie'!$M:$M,"")</f>
        <v>Bûches de bois</v>
      </c>
      <c r="F83">
        <v>0.75</v>
      </c>
      <c r="G83" s="156">
        <v>0.75</v>
      </c>
      <c r="I83" s="252"/>
      <c r="J83" s="252"/>
      <c r="K83" s="252"/>
      <c r="L83" s="252"/>
      <c r="M83" s="252"/>
    </row>
    <row r="84" spans="1:15">
      <c r="A84" s="254"/>
      <c r="B84" t="s">
        <v>3029</v>
      </c>
      <c r="C84" s="1286">
        <f>_xlfn.XLOOKUP($B84,'Energie Energie'!$A:$A,'Energie Energie'!$K:$K,"")</f>
        <v>1.0699999999999999E-2</v>
      </c>
      <c r="D84" s="1286">
        <f>_xlfn.XLOOKUP($B84,'Energie Energie'!$A:$A,'Energie Energie'!$I:$I,"")</f>
        <v>3.0700000000000002E-2</v>
      </c>
      <c r="E84" t="str">
        <f>_xlfn.XLOOKUP($B84,'Energie Energie'!$A:$A,'Energie Energie'!$M:$M,"")</f>
        <v>Particules de bois</v>
      </c>
      <c r="G84" s="156"/>
      <c r="I84" s="252"/>
      <c r="J84" s="252"/>
      <c r="K84" s="252"/>
      <c r="L84" s="252"/>
      <c r="M84" s="252"/>
    </row>
    <row r="85" spans="1:15">
      <c r="A85" s="254" t="s">
        <v>85</v>
      </c>
      <c r="B85" t="s">
        <v>3037</v>
      </c>
      <c r="C85" s="1286">
        <f>_xlfn.XLOOKUP($B85,'Energie Energie'!$A:$A,'Energie Energie'!$K:$K,"")</f>
        <v>2.7699999999999999E-2</v>
      </c>
      <c r="D85" s="1286">
        <f>_xlfn.XLOOKUP($B85,'Energie Energie'!$A:$A,'Energie Energie'!$I:$I,"")</f>
        <v>0.128</v>
      </c>
      <c r="E85" t="str">
        <f>_xlfn.XLOOKUP($B85,'Energie Energie'!$A:$A,'Energie Energie'!$M:$M,"")</f>
        <v>Granules (pellets)</v>
      </c>
      <c r="F85">
        <v>0.85</v>
      </c>
      <c r="G85" s="156">
        <v>0.85</v>
      </c>
      <c r="I85" s="252"/>
      <c r="J85" s="252"/>
      <c r="K85" s="252"/>
      <c r="L85" s="252"/>
      <c r="M85" s="252"/>
    </row>
    <row r="86" spans="1:15" ht="16.5" thickBot="1">
      <c r="A86" s="255"/>
      <c r="B86" s="171" t="s">
        <v>3044</v>
      </c>
      <c r="C86" s="1289">
        <f>_xlfn.XLOOKUP($B86,'Energie Energie'!$A:$A,'Energie Energie'!$K:$K,"")</f>
        <v>0.124</v>
      </c>
      <c r="D86" s="1289">
        <f>_xlfn.XLOOKUP($B86,'Energie Energie'!$A:$A,'Energie Energie'!$I:$I,"")</f>
        <v>0.29299999999999998</v>
      </c>
      <c r="E86" s="171" t="str">
        <f>_xlfn.XLOOKUP($B86,'Energie Energie'!$A:$A,'Energie Energie'!$M:$M,"")</f>
        <v>Biogaz</v>
      </c>
      <c r="F86" s="171"/>
      <c r="G86" s="172"/>
      <c r="I86" s="252"/>
      <c r="J86" s="252"/>
      <c r="K86" s="252"/>
      <c r="L86" s="252"/>
      <c r="M86" s="252"/>
    </row>
    <row r="87" spans="1:15" s="646" customFormat="1" ht="16.5" thickBot="1">
      <c r="L87" s="822"/>
      <c r="M87" s="822"/>
      <c r="N87" s="822"/>
    </row>
    <row r="88" spans="1:15" ht="16.5" thickTop="1">
      <c r="L88" s="252"/>
      <c r="M88" s="252"/>
      <c r="N88" s="252"/>
    </row>
    <row r="89" spans="1:15" ht="18.75">
      <c r="A89" s="288" t="s">
        <v>336</v>
      </c>
      <c r="H89" t="s">
        <v>3807</v>
      </c>
      <c r="L89" s="252"/>
      <c r="M89" s="252"/>
      <c r="N89" s="252"/>
    </row>
    <row r="90" spans="1:15" ht="18.75">
      <c r="A90" s="288" t="s">
        <v>334</v>
      </c>
      <c r="H90" s="256" t="s">
        <v>3805</v>
      </c>
      <c r="O90" s="256"/>
    </row>
    <row r="91" spans="1:15" ht="16.5" thickBot="1">
      <c r="A91" s="1209" t="s">
        <v>3787</v>
      </c>
      <c r="O91" s="256"/>
    </row>
    <row r="92" spans="1:15">
      <c r="A92" s="289" t="s">
        <v>3809</v>
      </c>
      <c r="B92" s="174"/>
      <c r="C92" s="174"/>
      <c r="D92" s="174"/>
      <c r="E92" s="175" t="s">
        <v>337</v>
      </c>
    </row>
    <row r="93" spans="1:15">
      <c r="A93" s="296" t="s">
        <v>3795</v>
      </c>
      <c r="B93" t="s">
        <v>100</v>
      </c>
      <c r="C93" t="s">
        <v>197</v>
      </c>
      <c r="D93" t="s">
        <v>202</v>
      </c>
      <c r="E93" s="156" t="s">
        <v>205</v>
      </c>
    </row>
    <row r="94" spans="1:15">
      <c r="A94" s="254" t="s">
        <v>3800</v>
      </c>
      <c r="B94" s="1253">
        <v>1</v>
      </c>
      <c r="C94" s="1253">
        <v>0.9</v>
      </c>
      <c r="D94" s="1253">
        <v>0.7</v>
      </c>
      <c r="E94" s="1260">
        <v>0.9</v>
      </c>
    </row>
    <row r="95" spans="1:15">
      <c r="A95" t="str">
        <f>'Outil simplifié'!$D$9</f>
        <v>Habitat collectif</v>
      </c>
      <c r="B95" s="1253" cm="1">
        <f t="array" ref="B95">_xlfn.SWITCH('Outil simplifié'!$D$9,$A$100,$E$100,$A$101,$E$101,$A$102,$E$102)*B94</f>
        <v>52</v>
      </c>
      <c r="C95" s="1253" cm="1">
        <f t="array" ref="C95">_xlfn.SWITCH('Outil simplifié'!$D$9,$A$100,$E$100,$A$101,$E$101,$A$102,$E$102)*C94</f>
        <v>46.800000000000004</v>
      </c>
      <c r="D95" s="1253" cm="1">
        <f t="array" ref="D95">_xlfn.SWITCH('Outil simplifié'!$D$9,$A$100,$E$100,$A$101,$E$101,$A$102,$E$102)*D94</f>
        <v>36.4</v>
      </c>
      <c r="E95" s="1260" cm="1">
        <f t="array" ref="E95">_xlfn.SWITCH('Outil simplifié'!$D$9,$A$100,$E$100,$A$101,$E$101,$A$102,$E$102)*E94</f>
        <v>46.800000000000004</v>
      </c>
      <c r="F95" t="s">
        <v>3839</v>
      </c>
      <c r="L95" s="272"/>
      <c r="M95" s="272"/>
    </row>
    <row r="96" spans="1:15" ht="16.5" thickBot="1">
      <c r="A96" s="255"/>
      <c r="B96" s="171"/>
      <c r="C96" s="171"/>
      <c r="D96" s="171"/>
      <c r="E96" s="172"/>
    </row>
    <row r="97" spans="1:15" ht="19.5" thickBot="1">
      <c r="A97" s="288"/>
      <c r="H97" s="256"/>
      <c r="O97" s="256"/>
    </row>
    <row r="98" spans="1:15">
      <c r="A98" s="289" t="s">
        <v>3793</v>
      </c>
      <c r="B98" s="174" t="s">
        <v>3788</v>
      </c>
      <c r="C98" s="174" t="s">
        <v>3791</v>
      </c>
      <c r="D98" s="174"/>
      <c r="E98" s="174" t="s">
        <v>3795</v>
      </c>
      <c r="F98" s="175" t="s">
        <v>3796</v>
      </c>
      <c r="O98" s="256"/>
    </row>
    <row r="99" spans="1:15">
      <c r="A99" s="296"/>
      <c r="B99" t="s">
        <v>3789</v>
      </c>
      <c r="C99" t="s">
        <v>3790</v>
      </c>
      <c r="D99" t="s">
        <v>3792</v>
      </c>
      <c r="E99" t="s">
        <v>3794</v>
      </c>
      <c r="F99" s="156" t="s">
        <v>3797</v>
      </c>
      <c r="O99" s="256"/>
    </row>
    <row r="100" spans="1:15">
      <c r="A100" t="str">
        <f>Liste!A3</f>
        <v>Habitat collectif</v>
      </c>
      <c r="B100" s="1253">
        <v>13</v>
      </c>
      <c r="C100" s="1253">
        <v>15</v>
      </c>
      <c r="D100" s="1253">
        <v>20</v>
      </c>
      <c r="E100" s="1253">
        <f>(B100+C100*'Outil simplifié'!$D$14)*$E$104</f>
        <v>52</v>
      </c>
      <c r="F100" s="1262">
        <f>E100*0.6</f>
        <v>31.2</v>
      </c>
      <c r="O100" s="256"/>
    </row>
    <row r="101" spans="1:15">
      <c r="A101" t="str">
        <f>Liste!A4</f>
        <v>Habitat individuel</v>
      </c>
      <c r="B101" s="1253">
        <v>16</v>
      </c>
      <c r="C101" s="1253">
        <v>15</v>
      </c>
      <c r="D101" s="1253">
        <v>25</v>
      </c>
      <c r="E101" s="1253">
        <f>(B101+C101*'Outil simplifié'!$D$14)*$E$104</f>
        <v>55</v>
      </c>
      <c r="F101" s="1262">
        <f>E101*0.6</f>
        <v>33</v>
      </c>
      <c r="L101" s="272"/>
      <c r="M101" s="272"/>
      <c r="O101" s="256"/>
    </row>
    <row r="102" spans="1:15">
      <c r="A102" t="str">
        <f>Liste!A5</f>
        <v>Bureau</v>
      </c>
      <c r="B102" s="1253">
        <v>13</v>
      </c>
      <c r="C102" s="1253">
        <v>15</v>
      </c>
      <c r="D102" s="1253">
        <v>25</v>
      </c>
      <c r="E102" s="1253">
        <f>(B102+C102*'Outil simplifié'!$D$14)*$E$104</f>
        <v>52</v>
      </c>
      <c r="F102" s="1262">
        <f>E102*0.6</f>
        <v>31.2</v>
      </c>
      <c r="O102" s="256"/>
    </row>
    <row r="103" spans="1:15">
      <c r="A103" s="254"/>
      <c r="F103" s="275"/>
      <c r="O103" s="256"/>
    </row>
    <row r="104" spans="1:15">
      <c r="A104" s="254" t="s">
        <v>3783</v>
      </c>
      <c r="E104" s="1253">
        <f>1+(9.4-E105)*0.06</f>
        <v>1</v>
      </c>
      <c r="F104" s="1260"/>
      <c r="O104" s="256"/>
    </row>
    <row r="105" spans="1:15" ht="16.5" thickBot="1">
      <c r="A105" s="1251" t="s">
        <v>3808</v>
      </c>
      <c r="B105" s="171"/>
      <c r="C105" s="171"/>
      <c r="D105" s="171"/>
      <c r="E105" s="1261">
        <v>9.4</v>
      </c>
      <c r="F105" s="1258" t="s">
        <v>3784</v>
      </c>
      <c r="O105" s="256"/>
    </row>
    <row r="106" spans="1:15">
      <c r="O106" s="256"/>
    </row>
    <row r="107" spans="1:15" ht="19.5" thickBot="1">
      <c r="A107" s="288" t="s">
        <v>3799</v>
      </c>
    </row>
    <row r="108" spans="1:15">
      <c r="A108" s="289" t="s">
        <v>3786</v>
      </c>
      <c r="B108" s="174" t="s">
        <v>3801</v>
      </c>
      <c r="C108" s="174"/>
      <c r="D108" s="175"/>
    </row>
    <row r="109" spans="1:15">
      <c r="A109" s="254" t="str">
        <f>Liste!A3</f>
        <v>Habitat collectif</v>
      </c>
      <c r="B109" s="1253">
        <v>21</v>
      </c>
      <c r="D109" s="156"/>
    </row>
    <row r="110" spans="1:15">
      <c r="A110" s="254" t="str">
        <f>Liste!A4</f>
        <v>Habitat individuel</v>
      </c>
      <c r="B110" s="1253">
        <v>14</v>
      </c>
      <c r="D110" s="156"/>
    </row>
    <row r="111" spans="1:15" ht="16.5" thickBot="1">
      <c r="A111" s="254" t="str">
        <f>Liste!A5</f>
        <v>Bureau</v>
      </c>
      <c r="B111" s="1261">
        <v>7</v>
      </c>
      <c r="C111" s="171"/>
      <c r="D111" s="172"/>
    </row>
    <row r="112" spans="1:15" ht="18.75">
      <c r="A112" s="288"/>
    </row>
    <row r="113" spans="1:19" ht="16.5" thickBot="1">
      <c r="A113" t="s">
        <v>3787</v>
      </c>
      <c r="I113" t="s">
        <v>3787</v>
      </c>
    </row>
    <row r="114" spans="1:19" ht="16.5" thickBot="1">
      <c r="A114" s="1291" t="s">
        <v>338</v>
      </c>
      <c r="B114" s="291"/>
      <c r="C114" s="291"/>
      <c r="D114" s="292"/>
      <c r="F114" s="277" t="s">
        <v>3821</v>
      </c>
      <c r="I114" s="289" t="s">
        <v>339</v>
      </c>
      <c r="J114" s="293"/>
      <c r="K114" s="293"/>
      <c r="L114" s="175"/>
    </row>
    <row r="115" spans="1:19">
      <c r="A115" s="253" t="s">
        <v>340</v>
      </c>
      <c r="B115" s="174" t="str">
        <f>C93</f>
        <v>Minergie</v>
      </c>
      <c r="C115" s="174" t="str">
        <f>D93</f>
        <v>Minergie-P</v>
      </c>
      <c r="D115" s="175" t="str">
        <f>E93</f>
        <v>Minergie-A</v>
      </c>
      <c r="E115" t="s">
        <v>341</v>
      </c>
      <c r="F115" s="1297" t="s">
        <v>3806</v>
      </c>
      <c r="I115" s="1254" t="s">
        <v>342</v>
      </c>
      <c r="J115" s="1253"/>
      <c r="K115" s="1253"/>
      <c r="L115" s="1260">
        <v>2</v>
      </c>
      <c r="M115" s="1253"/>
    </row>
    <row r="116" spans="1:19">
      <c r="A116" s="254" t="str">
        <f>Liste!A3</f>
        <v>Habitat collectif</v>
      </c>
      <c r="B116" s="1253">
        <v>51</v>
      </c>
      <c r="C116" s="1253">
        <v>46</v>
      </c>
      <c r="D116" s="1260">
        <v>29</v>
      </c>
      <c r="F116" s="1295">
        <v>35</v>
      </c>
      <c r="I116" s="1254" t="s">
        <v>3803</v>
      </c>
      <c r="J116" s="1253"/>
      <c r="K116" s="1253"/>
      <c r="L116" s="1260">
        <v>1</v>
      </c>
      <c r="M116" s="1253"/>
    </row>
    <row r="117" spans="1:19">
      <c r="A117" s="254" t="str">
        <f>Liste!A4</f>
        <v>Habitat individuel</v>
      </c>
      <c r="B117" s="1253">
        <v>38</v>
      </c>
      <c r="C117" s="1253">
        <v>35</v>
      </c>
      <c r="D117" s="1260">
        <v>26</v>
      </c>
      <c r="F117" s="1295">
        <v>35</v>
      </c>
      <c r="I117" s="1254" t="s">
        <v>3802</v>
      </c>
      <c r="J117" s="1253"/>
      <c r="K117" s="1253"/>
      <c r="L117" s="1260">
        <v>0.5</v>
      </c>
      <c r="M117" s="1253"/>
    </row>
    <row r="118" spans="1:19" ht="16.5" thickBot="1">
      <c r="A118" s="254" t="str">
        <f>Liste!A5</f>
        <v>Bureau</v>
      </c>
      <c r="B118" s="1261">
        <v>70</v>
      </c>
      <c r="C118" s="1261">
        <v>67</v>
      </c>
      <c r="D118" s="1258">
        <v>32</v>
      </c>
      <c r="F118" s="1296">
        <v>40</v>
      </c>
      <c r="I118" s="1254" t="s">
        <v>343</v>
      </c>
      <c r="J118" s="1253"/>
      <c r="K118" s="1253"/>
      <c r="L118" s="1260">
        <v>0.6</v>
      </c>
      <c r="M118" s="1253"/>
    </row>
    <row r="119" spans="1:19" ht="16.5" thickBot="1">
      <c r="A119" s="254"/>
      <c r="H119" s="276"/>
      <c r="I119" s="1255" t="s">
        <v>3804</v>
      </c>
      <c r="J119" s="1261"/>
      <c r="K119" s="1261"/>
      <c r="L119" s="1258">
        <v>0</v>
      </c>
      <c r="M119" s="1253"/>
    </row>
    <row r="120" spans="1:19" ht="16.5" thickBot="1">
      <c r="H120" s="276"/>
    </row>
    <row r="121" spans="1:19">
      <c r="A121" s="1276" t="s">
        <v>3996</v>
      </c>
      <c r="B121" s="293" t="str">
        <f>Liste!H3</f>
        <v>sans prescriptions d'occupation</v>
      </c>
      <c r="C121" s="174" t="s">
        <v>345</v>
      </c>
      <c r="D121" s="277"/>
      <c r="E121" s="174"/>
      <c r="F121" s="174"/>
      <c r="G121" s="175"/>
      <c r="H121" s="276"/>
      <c r="O121" s="1267"/>
      <c r="P121" s="1209"/>
    </row>
    <row r="122" spans="1:19">
      <c r="A122" s="254"/>
      <c r="B122" s="1263" t="s">
        <v>329</v>
      </c>
      <c r="C122" s="1265">
        <v>15</v>
      </c>
      <c r="D122" s="1266"/>
      <c r="E122" s="1265"/>
      <c r="G122" s="156"/>
      <c r="H122" s="276"/>
      <c r="I122" s="1264"/>
      <c r="J122" s="1264"/>
      <c r="K122" s="1264"/>
      <c r="Q122" s="1268"/>
      <c r="R122" s="1268"/>
      <c r="S122" s="1268"/>
    </row>
    <row r="123" spans="1:19">
      <c r="A123" s="254"/>
      <c r="B123" s="1263" t="s">
        <v>326</v>
      </c>
      <c r="C123" s="1265">
        <v>2</v>
      </c>
      <c r="D123" s="1266"/>
      <c r="E123" s="1265"/>
      <c r="G123" s="156"/>
      <c r="H123" s="276"/>
      <c r="I123" s="1264"/>
      <c r="J123" s="1264"/>
      <c r="K123" s="1264"/>
      <c r="Q123" s="1268"/>
      <c r="R123" s="1268"/>
      <c r="S123" s="1268"/>
    </row>
    <row r="124" spans="1:19">
      <c r="A124" s="254"/>
      <c r="B124" s="1263" t="s">
        <v>254</v>
      </c>
      <c r="C124" s="1265">
        <v>3</v>
      </c>
      <c r="D124" s="1266"/>
      <c r="E124" s="1265"/>
      <c r="G124" s="156"/>
      <c r="H124" s="276"/>
      <c r="I124" s="1264"/>
      <c r="J124" s="1264"/>
      <c r="K124" s="1264"/>
      <c r="P124" s="1269"/>
      <c r="Q124" s="1268"/>
      <c r="R124" s="1268"/>
    </row>
    <row r="125" spans="1:19">
      <c r="A125" s="254"/>
      <c r="B125" s="1263" t="s">
        <v>324</v>
      </c>
      <c r="C125" s="1265">
        <v>4</v>
      </c>
      <c r="D125" s="1266"/>
      <c r="E125" s="1265"/>
      <c r="G125" s="156"/>
      <c r="H125" s="276"/>
      <c r="I125" s="1264"/>
      <c r="J125" s="1264"/>
      <c r="K125" s="1264"/>
      <c r="P125" s="1269"/>
      <c r="Q125" s="1268"/>
      <c r="R125" s="1268"/>
      <c r="S125" s="1268"/>
    </row>
    <row r="126" spans="1:19">
      <c r="A126" s="254"/>
      <c r="B126" s="1263" t="s">
        <v>334</v>
      </c>
      <c r="C126" s="1265"/>
      <c r="D126" s="1266"/>
      <c r="E126" s="1265"/>
      <c r="G126" s="156"/>
      <c r="H126" s="276"/>
      <c r="I126" s="1264"/>
      <c r="J126" s="1264"/>
      <c r="K126" s="1264"/>
      <c r="P126" s="1269"/>
      <c r="Q126" s="1268"/>
      <c r="R126" s="1268"/>
      <c r="S126" s="1268"/>
    </row>
    <row r="127" spans="1:19">
      <c r="A127" s="254"/>
      <c r="B127" s="1263" t="s">
        <v>335</v>
      </c>
      <c r="C127" s="1265">
        <v>16</v>
      </c>
      <c r="D127" s="1266"/>
      <c r="E127" s="1265"/>
      <c r="G127" s="156"/>
      <c r="H127" s="276"/>
      <c r="I127" s="1264"/>
      <c r="J127" s="1264"/>
      <c r="K127" s="1264"/>
      <c r="P127" s="1269"/>
      <c r="Q127" s="1268"/>
      <c r="R127" s="1268"/>
      <c r="S127" s="1268"/>
    </row>
    <row r="128" spans="1:19" ht="16.5" thickBot="1">
      <c r="A128" s="254"/>
      <c r="B128" s="1263" t="s">
        <v>3813</v>
      </c>
      <c r="C128" s="1265"/>
      <c r="D128" s="1266"/>
      <c r="E128" s="1265"/>
      <c r="G128" s="156"/>
      <c r="H128" s="276"/>
      <c r="I128" s="1264"/>
      <c r="J128" s="1264"/>
      <c r="K128" s="1264"/>
      <c r="P128" s="1269"/>
      <c r="Q128" s="1268"/>
      <c r="R128" s="1268"/>
      <c r="S128" s="1268"/>
    </row>
    <row r="129" spans="1:11">
      <c r="A129" s="1276" t="s">
        <v>3996</v>
      </c>
      <c r="B129" s="293" t="str">
        <f>Liste!H4</f>
        <v>avec prescriptions d'occupation</v>
      </c>
      <c r="C129" s="174" t="s">
        <v>345</v>
      </c>
      <c r="D129" s="277"/>
      <c r="E129" s="174"/>
      <c r="F129" s="174"/>
      <c r="G129" s="175"/>
      <c r="H129" s="276"/>
    </row>
    <row r="130" spans="1:11">
      <c r="A130" s="254"/>
      <c r="B130" t="s">
        <v>329</v>
      </c>
      <c r="C130" s="1265">
        <v>20</v>
      </c>
      <c r="D130" s="1266"/>
      <c r="E130" s="1265"/>
      <c r="G130" s="156"/>
      <c r="H130" s="276"/>
      <c r="I130" s="1264"/>
      <c r="J130" s="1264"/>
      <c r="K130" s="1264"/>
    </row>
    <row r="131" spans="1:11">
      <c r="A131" s="254"/>
      <c r="B131" t="s">
        <v>326</v>
      </c>
      <c r="C131" s="1265">
        <v>2</v>
      </c>
      <c r="D131" s="1266"/>
      <c r="E131" s="1265"/>
      <c r="G131" s="156"/>
      <c r="H131" s="276"/>
      <c r="I131" s="1264"/>
      <c r="J131" s="1264"/>
      <c r="K131" s="1264"/>
    </row>
    <row r="132" spans="1:11">
      <c r="A132" s="254"/>
      <c r="B132" s="1263" t="s">
        <v>254</v>
      </c>
      <c r="C132" s="1265">
        <v>3</v>
      </c>
      <c r="D132" s="1266"/>
      <c r="E132" s="1265"/>
      <c r="G132" s="156"/>
      <c r="H132" s="276"/>
      <c r="I132" s="1264"/>
      <c r="J132" s="1264"/>
      <c r="K132" s="1264"/>
    </row>
    <row r="133" spans="1:11">
      <c r="A133" s="254"/>
      <c r="B133" s="1263" t="s">
        <v>324</v>
      </c>
      <c r="C133" s="1265">
        <v>4</v>
      </c>
      <c r="D133" s="1266"/>
      <c r="E133" s="1265"/>
      <c r="G133" s="156"/>
      <c r="H133" s="276"/>
      <c r="I133" s="1264"/>
      <c r="J133" s="1264"/>
      <c r="K133" s="1264"/>
    </row>
    <row r="134" spans="1:11">
      <c r="A134" s="254"/>
      <c r="B134" s="1263" t="s">
        <v>334</v>
      </c>
      <c r="C134" s="1265"/>
      <c r="D134" s="1266"/>
      <c r="E134" s="1265"/>
      <c r="G134" s="156"/>
      <c r="H134" s="276"/>
      <c r="I134" s="1264"/>
      <c r="J134" s="1264"/>
      <c r="K134" s="1264"/>
    </row>
    <row r="135" spans="1:11">
      <c r="A135" s="254"/>
      <c r="B135" s="1263" t="s">
        <v>335</v>
      </c>
      <c r="C135" s="1265">
        <v>21</v>
      </c>
      <c r="D135" s="1266"/>
      <c r="E135" s="1265"/>
      <c r="G135" s="156"/>
      <c r="H135" s="276"/>
      <c r="I135" s="1264"/>
      <c r="J135" s="1264"/>
      <c r="K135" s="1264"/>
    </row>
    <row r="136" spans="1:11" ht="16.5" thickBot="1">
      <c r="A136" s="255"/>
      <c r="B136" s="1280" t="s">
        <v>3813</v>
      </c>
      <c r="C136" s="1265"/>
      <c r="D136" s="1282"/>
      <c r="E136" s="1281"/>
      <c r="F136" s="171"/>
      <c r="G136" s="172"/>
      <c r="H136" s="276"/>
      <c r="I136" s="1264"/>
      <c r="J136" s="1264"/>
      <c r="K136" s="1264"/>
    </row>
    <row r="137" spans="1:11">
      <c r="A137" s="1276" t="s">
        <v>3996</v>
      </c>
      <c r="B137" s="293" t="str">
        <f>Liste!A5</f>
        <v>Bureau</v>
      </c>
      <c r="C137" s="174" t="s">
        <v>345</v>
      </c>
      <c r="D137" s="277"/>
      <c r="E137" s="174"/>
      <c r="F137" s="174"/>
      <c r="G137" s="175"/>
      <c r="H137" s="276"/>
    </row>
    <row r="138" spans="1:11">
      <c r="A138" s="254"/>
      <c r="B138" t="s">
        <v>329</v>
      </c>
      <c r="C138" s="1265">
        <v>17</v>
      </c>
      <c r="D138" s="1266"/>
      <c r="E138" s="1265"/>
      <c r="G138" s="156"/>
      <c r="H138" s="276"/>
      <c r="I138" s="1264"/>
      <c r="J138" s="1264"/>
      <c r="K138" s="1264"/>
    </row>
    <row r="139" spans="1:11">
      <c r="A139" s="254"/>
      <c r="B139" t="s">
        <v>326</v>
      </c>
      <c r="C139" s="1265">
        <v>8</v>
      </c>
      <c r="D139" s="1266"/>
      <c r="E139" s="1265"/>
      <c r="G139" s="156"/>
      <c r="H139" s="276"/>
      <c r="I139" s="1264"/>
      <c r="J139" s="1264"/>
      <c r="K139" s="1264"/>
    </row>
    <row r="140" spans="1:11">
      <c r="A140" s="254"/>
      <c r="B140" s="1263" t="s">
        <v>254</v>
      </c>
      <c r="C140" s="1265">
        <v>3</v>
      </c>
      <c r="D140" s="1266"/>
      <c r="E140" s="1265"/>
      <c r="G140" s="156"/>
      <c r="H140" s="276"/>
      <c r="I140" s="1264"/>
      <c r="J140" s="1264"/>
      <c r="K140" s="1264"/>
    </row>
    <row r="141" spans="1:11">
      <c r="A141" s="254"/>
      <c r="B141" s="1263" t="s">
        <v>324</v>
      </c>
      <c r="C141" s="1265">
        <v>9</v>
      </c>
      <c r="D141" s="1266"/>
      <c r="E141" s="1265"/>
      <c r="G141" s="156"/>
      <c r="H141" s="276"/>
      <c r="I141" s="1264"/>
      <c r="J141" s="1264"/>
      <c r="K141" s="1264"/>
    </row>
    <row r="142" spans="1:11">
      <c r="A142" s="254"/>
      <c r="B142" s="1263" t="s">
        <v>334</v>
      </c>
      <c r="C142" s="1265"/>
      <c r="D142" s="1266"/>
      <c r="E142" s="1265"/>
      <c r="G142" s="156"/>
      <c r="H142" s="276"/>
      <c r="I142" s="1264"/>
      <c r="J142" s="1264"/>
      <c r="K142" s="1264"/>
    </row>
    <row r="143" spans="1:11">
      <c r="A143" s="254"/>
      <c r="B143" s="1263" t="s">
        <v>335</v>
      </c>
      <c r="C143" s="1265">
        <v>2</v>
      </c>
      <c r="D143" s="1266"/>
      <c r="E143" s="1265"/>
      <c r="G143" s="156"/>
      <c r="H143" s="276"/>
      <c r="I143" s="1264"/>
      <c r="J143" s="1264"/>
      <c r="K143" s="1264"/>
    </row>
    <row r="144" spans="1:11" ht="16.5" thickBot="1">
      <c r="A144" s="255"/>
      <c r="B144" s="1280" t="s">
        <v>3813</v>
      </c>
      <c r="C144" s="1265">
        <v>8</v>
      </c>
      <c r="D144" s="1282"/>
      <c r="E144" s="1281"/>
      <c r="F144" s="171"/>
      <c r="G144" s="172"/>
      <c r="H144" s="276"/>
      <c r="I144" s="1264"/>
      <c r="J144" s="1264"/>
      <c r="K144" s="1264"/>
    </row>
    <row r="147" spans="1:7" ht="16.5" thickBot="1"/>
    <row r="148" spans="1:7">
      <c r="A148" s="1276" t="s">
        <v>3834</v>
      </c>
      <c r="B148" s="293">
        <f>Liste!A30</f>
        <v>0</v>
      </c>
      <c r="C148" s="174" t="s">
        <v>345</v>
      </c>
      <c r="D148" s="277" t="s">
        <v>346</v>
      </c>
      <c r="E148" s="174" t="s">
        <v>347</v>
      </c>
      <c r="F148" s="174"/>
      <c r="G148" s="175"/>
    </row>
    <row r="149" spans="1:7">
      <c r="A149" s="254"/>
      <c r="B149" s="1263" t="s">
        <v>329</v>
      </c>
      <c r="C149" s="1265">
        <v>14.7</v>
      </c>
      <c r="D149" s="1266">
        <v>7.3</v>
      </c>
      <c r="E149" s="1265">
        <v>17.600000000000001</v>
      </c>
      <c r="F149" t="s">
        <v>354</v>
      </c>
      <c r="G149" s="156"/>
    </row>
    <row r="150" spans="1:7">
      <c r="A150" s="254"/>
      <c r="B150" s="1263" t="s">
        <v>326</v>
      </c>
      <c r="C150" s="1265">
        <v>3.5</v>
      </c>
      <c r="D150" s="1266">
        <v>1.5</v>
      </c>
      <c r="E150" s="1265">
        <v>5.7</v>
      </c>
      <c r="F150" t="s">
        <v>348</v>
      </c>
      <c r="G150" s="156" t="s">
        <v>349</v>
      </c>
    </row>
    <row r="151" spans="1:7">
      <c r="A151" s="254"/>
      <c r="B151" s="1263" t="s">
        <v>254</v>
      </c>
      <c r="C151" s="1265">
        <v>2.8</v>
      </c>
      <c r="D151" s="1266">
        <v>1.2</v>
      </c>
      <c r="E151" s="1265">
        <v>0</v>
      </c>
      <c r="F151" t="s">
        <v>350</v>
      </c>
      <c r="G151" s="156" t="s">
        <v>349</v>
      </c>
    </row>
    <row r="152" spans="1:7">
      <c r="A152" s="254"/>
      <c r="B152" s="1263" t="s">
        <v>324</v>
      </c>
      <c r="C152" s="1265">
        <v>3.7</v>
      </c>
      <c r="D152" s="1266">
        <v>2</v>
      </c>
      <c r="E152" s="1265">
        <v>0</v>
      </c>
      <c r="F152" t="s">
        <v>351</v>
      </c>
      <c r="G152" s="156" t="s">
        <v>349</v>
      </c>
    </row>
    <row r="153" spans="1:7">
      <c r="A153" s="254"/>
      <c r="B153" s="1263" t="s">
        <v>334</v>
      </c>
      <c r="C153" s="1265">
        <v>10.6</v>
      </c>
      <c r="D153" s="1266">
        <v>7.6</v>
      </c>
      <c r="E153" s="1265">
        <v>73.400000000000006</v>
      </c>
      <c r="F153" t="s">
        <v>352</v>
      </c>
      <c r="G153" s="156" t="s">
        <v>349</v>
      </c>
    </row>
    <row r="154" spans="1:7">
      <c r="A154" s="254"/>
      <c r="B154" s="1263" t="s">
        <v>335</v>
      </c>
      <c r="C154" s="1265">
        <v>11.5</v>
      </c>
      <c r="D154" s="1266">
        <v>11.5</v>
      </c>
      <c r="E154" s="1265">
        <v>11.5</v>
      </c>
      <c r="F154" t="s">
        <v>353</v>
      </c>
      <c r="G154" s="156" t="s">
        <v>349</v>
      </c>
    </row>
    <row r="155" spans="1:7" ht="16.5" thickBot="1">
      <c r="A155" s="254"/>
      <c r="B155" s="1263" t="s">
        <v>3813</v>
      </c>
      <c r="C155" s="1265">
        <v>3</v>
      </c>
      <c r="D155" s="1266">
        <v>3</v>
      </c>
      <c r="E155" s="1265">
        <v>3</v>
      </c>
      <c r="G155" s="156"/>
    </row>
    <row r="156" spans="1:7">
      <c r="A156" s="1276" t="s">
        <v>3834</v>
      </c>
      <c r="B156" s="293">
        <f>Liste!A31</f>
        <v>0</v>
      </c>
      <c r="C156" s="174" t="s">
        <v>345</v>
      </c>
      <c r="D156" s="277" t="s">
        <v>346</v>
      </c>
      <c r="E156" s="174" t="s">
        <v>347</v>
      </c>
      <c r="F156" s="174"/>
      <c r="G156" s="175"/>
    </row>
    <row r="157" spans="1:7">
      <c r="A157" s="254"/>
      <c r="B157" t="s">
        <v>329</v>
      </c>
      <c r="C157" s="1265">
        <v>12.8</v>
      </c>
      <c r="D157" s="1266">
        <v>6.4</v>
      </c>
      <c r="E157" s="1265">
        <v>15.4</v>
      </c>
      <c r="F157" t="s">
        <v>354</v>
      </c>
      <c r="G157" s="156"/>
    </row>
    <row r="158" spans="1:7">
      <c r="A158" s="254"/>
      <c r="B158" t="s">
        <v>326</v>
      </c>
      <c r="C158" s="1265">
        <v>3.4</v>
      </c>
      <c r="D158" s="1266">
        <v>1.5</v>
      </c>
      <c r="E158" s="1265">
        <v>5.4</v>
      </c>
      <c r="F158" t="s">
        <v>348</v>
      </c>
      <c r="G158" s="156" t="s">
        <v>349</v>
      </c>
    </row>
    <row r="159" spans="1:7">
      <c r="A159" s="254"/>
      <c r="B159" s="1263" t="s">
        <v>254</v>
      </c>
      <c r="C159" s="1265">
        <v>1.5</v>
      </c>
      <c r="D159" s="1266">
        <v>0.6</v>
      </c>
      <c r="E159" s="1265">
        <v>0</v>
      </c>
      <c r="F159" t="s">
        <v>350</v>
      </c>
      <c r="G159" s="156" t="s">
        <v>349</v>
      </c>
    </row>
    <row r="160" spans="1:7">
      <c r="A160" s="254"/>
      <c r="B160" s="1263" t="s">
        <v>324</v>
      </c>
      <c r="C160" s="1265">
        <v>1.7</v>
      </c>
      <c r="D160" s="1266">
        <v>0.8</v>
      </c>
      <c r="E160" s="1265">
        <v>0</v>
      </c>
      <c r="F160" t="s">
        <v>351</v>
      </c>
      <c r="G160" s="156" t="s">
        <v>349</v>
      </c>
    </row>
    <row r="161" spans="1:7">
      <c r="A161" s="254"/>
      <c r="B161" s="1263" t="s">
        <v>334</v>
      </c>
      <c r="C161" s="1265">
        <v>17.899999999999999</v>
      </c>
      <c r="D161" s="1266">
        <v>11.9</v>
      </c>
      <c r="E161" s="1265">
        <v>121.5</v>
      </c>
      <c r="F161" t="s">
        <v>352</v>
      </c>
      <c r="G161" s="156" t="s">
        <v>349</v>
      </c>
    </row>
    <row r="162" spans="1:7">
      <c r="A162" s="254"/>
      <c r="B162" s="1263" t="s">
        <v>335</v>
      </c>
      <c r="C162" s="1265">
        <v>9.8000000000000007</v>
      </c>
      <c r="D162" s="1266">
        <v>9.8000000000000007</v>
      </c>
      <c r="E162" s="1265">
        <v>9.8000000000000007</v>
      </c>
      <c r="F162" t="s">
        <v>353</v>
      </c>
      <c r="G162" s="156" t="s">
        <v>349</v>
      </c>
    </row>
    <row r="163" spans="1:7" ht="16.5" thickBot="1">
      <c r="A163" s="255"/>
      <c r="B163" s="1280" t="s">
        <v>3813</v>
      </c>
      <c r="C163" s="1281">
        <v>1.4</v>
      </c>
      <c r="D163" s="1282">
        <v>1.4</v>
      </c>
      <c r="E163" s="1281">
        <v>1.4</v>
      </c>
      <c r="F163" s="171"/>
      <c r="G163" s="172"/>
    </row>
    <row r="164" spans="1:7">
      <c r="A164" s="1276" t="s">
        <v>3834</v>
      </c>
      <c r="B164" s="293" t="str">
        <f>Liste!A32</f>
        <v>Enveloppe du bâtiment sous terrain</v>
      </c>
      <c r="C164" s="174" t="s">
        <v>345</v>
      </c>
      <c r="D164" s="277" t="s">
        <v>346</v>
      </c>
      <c r="E164" s="174" t="s">
        <v>347</v>
      </c>
      <c r="F164" s="174"/>
      <c r="G164" s="175"/>
    </row>
    <row r="165" spans="1:7">
      <c r="A165" s="254"/>
      <c r="B165" t="s">
        <v>329</v>
      </c>
      <c r="C165" s="1265">
        <v>17.3</v>
      </c>
      <c r="D165" s="1266">
        <v>10.199999999999999</v>
      </c>
      <c r="E165" s="1265">
        <v>26.7</v>
      </c>
      <c r="F165" t="s">
        <v>354</v>
      </c>
      <c r="G165" s="156"/>
    </row>
    <row r="166" spans="1:7">
      <c r="A166" s="254"/>
      <c r="B166" t="s">
        <v>326</v>
      </c>
      <c r="C166" s="1265">
        <v>10.199999999999999</v>
      </c>
      <c r="D166" s="1266">
        <v>2.2999999999999998</v>
      </c>
      <c r="E166" s="1265">
        <v>14.2</v>
      </c>
      <c r="F166" t="s">
        <v>348</v>
      </c>
      <c r="G166" s="156" t="s">
        <v>349</v>
      </c>
    </row>
    <row r="167" spans="1:7">
      <c r="A167" s="254"/>
      <c r="B167" s="1263" t="s">
        <v>254</v>
      </c>
      <c r="C167" s="1265">
        <v>3</v>
      </c>
      <c r="D167" s="1266">
        <v>1.3</v>
      </c>
      <c r="E167" s="1265">
        <v>5.0999999999999996</v>
      </c>
      <c r="F167" t="s">
        <v>350</v>
      </c>
      <c r="G167" s="156" t="s">
        <v>349</v>
      </c>
    </row>
    <row r="168" spans="1:7">
      <c r="A168" s="254"/>
      <c r="B168" s="1263" t="s">
        <v>324</v>
      </c>
      <c r="C168" s="1265">
        <v>8.5</v>
      </c>
      <c r="D168" s="1266">
        <v>3.7</v>
      </c>
      <c r="E168" s="1265">
        <v>2.2999999999999998</v>
      </c>
      <c r="F168" t="s">
        <v>351</v>
      </c>
      <c r="G168" s="156" t="s">
        <v>349</v>
      </c>
    </row>
    <row r="169" spans="1:7">
      <c r="A169" s="254"/>
      <c r="B169" s="1263" t="s">
        <v>334</v>
      </c>
      <c r="C169" s="1265">
        <v>7.5</v>
      </c>
      <c r="D169" s="1266">
        <v>6.4</v>
      </c>
      <c r="E169" s="1265">
        <v>46.3</v>
      </c>
      <c r="F169" t="s">
        <v>352</v>
      </c>
      <c r="G169" s="156" t="s">
        <v>349</v>
      </c>
    </row>
    <row r="170" spans="1:7">
      <c r="A170" s="254"/>
      <c r="B170" s="1263" t="s">
        <v>335</v>
      </c>
      <c r="C170" s="1265">
        <v>1.3</v>
      </c>
      <c r="D170" s="1266">
        <v>1.3</v>
      </c>
      <c r="E170" s="1265">
        <v>1.3</v>
      </c>
      <c r="F170" t="s">
        <v>353</v>
      </c>
      <c r="G170" s="156" t="s">
        <v>349</v>
      </c>
    </row>
    <row r="171" spans="1:7" ht="16.5" thickBot="1">
      <c r="A171" s="255"/>
      <c r="B171" s="1280" t="s">
        <v>3813</v>
      </c>
      <c r="C171" s="1281">
        <v>3.4</v>
      </c>
      <c r="D171" s="1282">
        <v>3.4</v>
      </c>
      <c r="E171" s="1281">
        <v>3.4</v>
      </c>
      <c r="F171" s="171"/>
      <c r="G171" s="172"/>
    </row>
    <row r="172" spans="1:7">
      <c r="A172" s="536"/>
      <c r="B172" s="536"/>
      <c r="C172" s="536"/>
      <c r="D172" s="536"/>
    </row>
    <row r="173" spans="1:7">
      <c r="A173" s="536"/>
      <c r="B173" s="536"/>
      <c r="C173" s="536"/>
      <c r="D173" s="536"/>
    </row>
    <row r="174" spans="1:7">
      <c r="A174" s="536" t="s">
        <v>362</v>
      </c>
      <c r="B174" s="536"/>
      <c r="C174" s="536"/>
      <c r="D174" s="536"/>
    </row>
    <row r="175" spans="1:7">
      <c r="A175" s="536" t="s">
        <v>363</v>
      </c>
      <c r="B175" s="536"/>
      <c r="C175" s="536"/>
      <c r="D175" s="536"/>
    </row>
    <row r="176" spans="1:7">
      <c r="A176" s="536" t="s">
        <v>364</v>
      </c>
      <c r="B176" s="536"/>
      <c r="C176" s="536"/>
      <c r="D176" s="536"/>
    </row>
    <row r="177" spans="1:4">
      <c r="A177" s="536" t="s">
        <v>365</v>
      </c>
      <c r="B177" s="536"/>
      <c r="C177" s="536"/>
      <c r="D177" s="536"/>
    </row>
    <row r="178" spans="1:4">
      <c r="A178" s="536" t="s">
        <v>366</v>
      </c>
      <c r="B178" s="536"/>
      <c r="C178" s="536"/>
      <c r="D178" s="536"/>
    </row>
    <row r="179" spans="1:4">
      <c r="A179" s="536"/>
      <c r="B179" s="536"/>
      <c r="C179" s="536"/>
      <c r="D179" s="536"/>
    </row>
    <row r="180" spans="1:4">
      <c r="A180" s="536"/>
      <c r="B180" s="536"/>
      <c r="C180" s="536"/>
      <c r="D180" s="536"/>
    </row>
    <row r="181" spans="1:4">
      <c r="A181" s="536" t="s">
        <v>326</v>
      </c>
      <c r="B181" s="536"/>
      <c r="C181" s="536"/>
      <c r="D181" s="536"/>
    </row>
    <row r="182" spans="1:4">
      <c r="A182" s="536" t="s">
        <v>367</v>
      </c>
      <c r="B182" s="536"/>
      <c r="C182" s="536"/>
      <c r="D182" s="536"/>
    </row>
    <row r="183" spans="1:4">
      <c r="A183" s="536" t="s">
        <v>368</v>
      </c>
      <c r="B183" s="536"/>
      <c r="C183" s="536"/>
      <c r="D183" s="536"/>
    </row>
    <row r="184" spans="1:4">
      <c r="A184" s="536" t="s">
        <v>369</v>
      </c>
      <c r="B184" s="536"/>
      <c r="C184" s="536"/>
      <c r="D184" s="536"/>
    </row>
    <row r="185" spans="1:4">
      <c r="A185" s="536" t="s">
        <v>370</v>
      </c>
      <c r="B185" s="536"/>
      <c r="C185" s="536"/>
      <c r="D185" s="536"/>
    </row>
    <row r="186" spans="1:4">
      <c r="A186" s="536" t="s">
        <v>371</v>
      </c>
      <c r="B186" s="536"/>
      <c r="C186" s="536"/>
      <c r="D186" s="536"/>
    </row>
    <row r="187" spans="1:4">
      <c r="A187" s="536" t="s">
        <v>372</v>
      </c>
      <c r="B187" s="536"/>
      <c r="C187" s="536"/>
      <c r="D187" s="536"/>
    </row>
    <row r="188" spans="1:4">
      <c r="A188" s="536" t="s">
        <v>373</v>
      </c>
      <c r="B188" s="536"/>
      <c r="C188" s="536"/>
      <c r="D188" s="536"/>
    </row>
    <row r="189" spans="1:4">
      <c r="A189" s="536"/>
      <c r="B189" s="536"/>
      <c r="C189" s="536"/>
      <c r="D189" s="536"/>
    </row>
    <row r="190" spans="1:4">
      <c r="A190" s="536" t="s">
        <v>355</v>
      </c>
      <c r="B190" s="536"/>
      <c r="C190" s="536"/>
      <c r="D190" s="536"/>
    </row>
    <row r="191" spans="1:4">
      <c r="A191" s="536" t="s">
        <v>374</v>
      </c>
      <c r="B191" s="536"/>
      <c r="C191" s="536"/>
      <c r="D191" s="536"/>
    </row>
    <row r="192" spans="1:4">
      <c r="A192" s="536" t="s">
        <v>375</v>
      </c>
      <c r="B192" s="536"/>
      <c r="C192" s="536"/>
      <c r="D192" s="536"/>
    </row>
    <row r="193" spans="1:4">
      <c r="A193" s="536" t="s">
        <v>361</v>
      </c>
      <c r="B193" s="536"/>
      <c r="C193" s="536"/>
      <c r="D193" s="536"/>
    </row>
    <row r="194" spans="1:4">
      <c r="A194" s="536" t="s">
        <v>363</v>
      </c>
      <c r="B194" s="536"/>
      <c r="C194" s="536"/>
      <c r="D194" s="536"/>
    </row>
    <row r="195" spans="1:4">
      <c r="A195" s="536" t="s">
        <v>364</v>
      </c>
      <c r="B195" s="536"/>
      <c r="C195" s="536"/>
      <c r="D195" s="536"/>
    </row>
    <row r="196" spans="1:4">
      <c r="A196" s="536" t="s">
        <v>376</v>
      </c>
      <c r="B196" s="536"/>
      <c r="C196" s="536"/>
      <c r="D196" s="536"/>
    </row>
    <row r="197" spans="1:4">
      <c r="A197" s="536" t="s">
        <v>377</v>
      </c>
      <c r="B197" s="536"/>
      <c r="C197" s="536"/>
      <c r="D197" s="536"/>
    </row>
    <row r="198" spans="1:4">
      <c r="A198" s="536"/>
      <c r="B198" s="536"/>
      <c r="C198" s="536"/>
      <c r="D198" s="536"/>
    </row>
    <row r="199" spans="1:4">
      <c r="A199" s="536"/>
      <c r="B199" s="536"/>
      <c r="C199" s="536"/>
      <c r="D199" s="536"/>
    </row>
    <row r="200" spans="1:4">
      <c r="A200" s="536" t="s">
        <v>185</v>
      </c>
      <c r="B200" s="536"/>
      <c r="C200" s="536"/>
      <c r="D200" s="536"/>
    </row>
    <row r="201" spans="1:4">
      <c r="A201" s="536" t="s">
        <v>378</v>
      </c>
      <c r="B201" s="536"/>
      <c r="C201" s="536"/>
      <c r="D201" s="536"/>
    </row>
    <row r="202" spans="1:4">
      <c r="A202" s="536" t="s">
        <v>379</v>
      </c>
      <c r="B202" s="536"/>
      <c r="C202" s="536"/>
      <c r="D202" s="536"/>
    </row>
    <row r="203" spans="1:4">
      <c r="A203" s="536" t="s">
        <v>380</v>
      </c>
      <c r="B203" s="536"/>
      <c r="C203" s="536"/>
      <c r="D203" s="536"/>
    </row>
    <row r="204" spans="1:4">
      <c r="A204" s="536" t="s">
        <v>381</v>
      </c>
      <c r="B204" s="536"/>
      <c r="C204" s="536"/>
      <c r="D204" s="536"/>
    </row>
    <row r="205" spans="1:4">
      <c r="A205" s="536" t="s">
        <v>382</v>
      </c>
      <c r="B205" s="536"/>
      <c r="C205" s="536"/>
      <c r="D205" s="536"/>
    </row>
    <row r="206" spans="1:4">
      <c r="A206" s="536"/>
      <c r="B206" s="536"/>
      <c r="C206" s="536"/>
      <c r="D206" s="536"/>
    </row>
    <row r="207" spans="1:4">
      <c r="A207" s="536" t="s">
        <v>383</v>
      </c>
      <c r="B207" s="536"/>
      <c r="C207" s="536"/>
      <c r="D207" s="536"/>
    </row>
    <row r="208" spans="1:4">
      <c r="A208" s="536" t="s">
        <v>384</v>
      </c>
      <c r="B208" s="536"/>
      <c r="C208" s="536"/>
      <c r="D208" s="536"/>
    </row>
    <row r="209" spans="1:4">
      <c r="A209" s="536" t="s">
        <v>385</v>
      </c>
      <c r="B209" s="536"/>
      <c r="C209" s="536"/>
      <c r="D209" s="536"/>
    </row>
    <row r="210" spans="1:4">
      <c r="A210" s="536" t="s">
        <v>386</v>
      </c>
      <c r="B210" s="536"/>
      <c r="C210" s="536"/>
      <c r="D210" s="536"/>
    </row>
    <row r="211" spans="1:4">
      <c r="A211" s="536"/>
      <c r="B211" s="536"/>
      <c r="C211" s="536"/>
      <c r="D211" s="536"/>
    </row>
    <row r="212" spans="1:4">
      <c r="A212" s="536"/>
      <c r="B212" s="536"/>
      <c r="C212" s="536"/>
      <c r="D212" s="536"/>
    </row>
    <row r="213" spans="1:4">
      <c r="A213" s="536"/>
      <c r="B213" s="536"/>
      <c r="C213" s="536"/>
      <c r="D213" s="536"/>
    </row>
  </sheetData>
  <customSheetViews>
    <customSheetView guid="{54A7C567-FA7D-467E-B353-ECB5E61AE756}" state="hidden">
      <selection activeCell="M22" sqref="M22"/>
      <pageMargins left="0" right="0" top="0" bottom="0" header="0" footer="0"/>
      <pageSetup paperSize="9" orientation="portrait" r:id="rId1"/>
    </customSheetView>
  </customSheetViews>
  <mergeCells count="14">
    <mergeCell ref="R27:S27"/>
    <mergeCell ref="A2:A9"/>
    <mergeCell ref="C2:C9"/>
    <mergeCell ref="D2:D9"/>
    <mergeCell ref="E3:E9"/>
    <mergeCell ref="B2:B9"/>
    <mergeCell ref="O27:P27"/>
    <mergeCell ref="I2:I9"/>
    <mergeCell ref="H2:H9"/>
    <mergeCell ref="G2:G9"/>
    <mergeCell ref="F3:F9"/>
    <mergeCell ref="J2:J9"/>
    <mergeCell ref="K2:K9"/>
    <mergeCell ref="L2:L9"/>
  </mergeCells>
  <phoneticPr fontId="68" type="noConversion"/>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73075-22DF-4F8D-AF24-1A192DFDC348}">
  <sheetPr codeName="Feuil4">
    <tabColor theme="7"/>
  </sheetPr>
  <dimension ref="B1:J57"/>
  <sheetViews>
    <sheetView workbookViewId="0"/>
  </sheetViews>
  <sheetFormatPr baseColWidth="10" defaultColWidth="11" defaultRowHeight="15.75" outlineLevelRow="1"/>
  <cols>
    <col min="1" max="1" width="2.625" customWidth="1"/>
    <col min="2" max="2" width="32" bestFit="1" customWidth="1"/>
    <col min="3" max="3" width="30" customWidth="1"/>
    <col min="4" max="4" width="16.625" bestFit="1" customWidth="1"/>
    <col min="5" max="5" width="16.375" bestFit="1" customWidth="1"/>
    <col min="6" max="6" width="15.875" bestFit="1" customWidth="1"/>
    <col min="7" max="7" width="11.875" bestFit="1" customWidth="1"/>
    <col min="8" max="8" width="17.25" customWidth="1"/>
    <col min="9" max="9" width="24.625" bestFit="1" customWidth="1"/>
    <col min="10" max="10" width="8.75" customWidth="1"/>
  </cols>
  <sheetData>
    <row r="1" spans="2:9" ht="21">
      <c r="B1" s="173" t="s">
        <v>154</v>
      </c>
    </row>
    <row r="3" spans="2:9">
      <c r="C3" s="1300" t="s">
        <v>155</v>
      </c>
      <c r="D3" s="1301">
        <v>3</v>
      </c>
    </row>
    <row r="4" spans="2:9">
      <c r="C4" s="1302"/>
      <c r="D4" s="1303"/>
    </row>
    <row r="5" spans="2:9">
      <c r="C5" s="1302" t="s">
        <v>156</v>
      </c>
      <c r="D5" s="1304">
        <v>0.4</v>
      </c>
      <c r="E5" t="s">
        <v>157</v>
      </c>
    </row>
    <row r="6" spans="2:9">
      <c r="C6" s="1302" t="s">
        <v>158</v>
      </c>
      <c r="D6" s="1304">
        <v>0.4</v>
      </c>
      <c r="E6" t="s">
        <v>157</v>
      </c>
    </row>
    <row r="7" spans="2:9">
      <c r="C7" s="1302" t="s">
        <v>159</v>
      </c>
      <c r="D7" s="1304">
        <v>0.2</v>
      </c>
    </row>
    <row r="8" spans="2:9">
      <c r="C8" s="1305" t="s">
        <v>183</v>
      </c>
      <c r="D8" s="1306">
        <v>60</v>
      </c>
    </row>
    <row r="9" spans="2:9" s="171" customFormat="1" ht="16.5" outlineLevel="1" thickBot="1"/>
    <row r="10" spans="2:9" outlineLevel="1">
      <c r="B10" s="1209" t="s">
        <v>13</v>
      </c>
    </row>
    <row r="11" spans="2:9" outlineLevel="1">
      <c r="F11" t="str">
        <f>Liste!B3</f>
        <v>Neuf</v>
      </c>
      <c r="G11" t="str">
        <f>Liste!B4</f>
        <v>Rénovation</v>
      </c>
      <c r="H11" t="str">
        <f>Liste!B5</f>
        <v>Extension (étage supplémentaire)</v>
      </c>
      <c r="I11" t="str">
        <f>Liste!B6</f>
        <v>Extension (ajout par la paroi)</v>
      </c>
    </row>
    <row r="12" spans="2:9" outlineLevel="1">
      <c r="B12" s="536" t="s">
        <v>164</v>
      </c>
      <c r="C12" s="1307" t="s">
        <v>165</v>
      </c>
      <c r="D12" s="1308">
        <f>'Outil simplifié'!D12/'Outil simplifié'!D13</f>
        <v>80</v>
      </c>
      <c r="E12" s="536" t="s">
        <v>87</v>
      </c>
    </row>
    <row r="13" spans="2:9" outlineLevel="1">
      <c r="B13" s="536"/>
      <c r="C13" s="536" t="s">
        <v>166</v>
      </c>
      <c r="D13" s="1308">
        <f>D16*'Outil simplifié'!D15</f>
        <v>38.4</v>
      </c>
      <c r="E13" s="536" t="s">
        <v>87</v>
      </c>
    </row>
    <row r="14" spans="2:9" outlineLevel="1">
      <c r="B14" t="s">
        <v>171</v>
      </c>
      <c r="C14" t="s">
        <v>172</v>
      </c>
      <c r="D14" s="158">
        <f>'Outil simplifié'!D14*'Outil simplifié'!D12</f>
        <v>416</v>
      </c>
      <c r="E14" t="s">
        <v>87</v>
      </c>
    </row>
    <row r="15" spans="2:9" outlineLevel="1">
      <c r="B15" t="s">
        <v>169</v>
      </c>
      <c r="D15" s="158">
        <f>MAX(D12,D23)</f>
        <v>80</v>
      </c>
      <c r="E15" t="s">
        <v>87</v>
      </c>
    </row>
    <row r="16" spans="2:9" outlineLevel="1">
      <c r="B16" s="1309" t="s">
        <v>170</v>
      </c>
      <c r="C16" s="1309"/>
      <c r="D16" s="1310">
        <f>_xlfn.XLOOKUP('Outil simplifié'!D$10,Hypothèses!F$11:I$11,Hypothèses!F16:I16)</f>
        <v>256</v>
      </c>
      <c r="E16" s="536" t="s">
        <v>87</v>
      </c>
      <c r="F16" s="158">
        <f>('Outil simplifié'!D14*'Outil simplifié'!D12)-2*(D12)</f>
        <v>256</v>
      </c>
      <c r="G16" s="158">
        <f>('Outil simplifié'!D14*'Outil simplifié'!D12)-2*(D12)</f>
        <v>256</v>
      </c>
      <c r="H16" s="158">
        <f>('Outil simplifié'!D14*'Outil simplifié'!D12)-2*(D12)</f>
        <v>256</v>
      </c>
      <c r="I16" s="158">
        <f>('Outil simplifié'!D14*'Outil simplifié'!D12)-2*(D12)</f>
        <v>256</v>
      </c>
    </row>
    <row r="17" spans="2:9" outlineLevel="1">
      <c r="B17" s="536" t="s">
        <v>173</v>
      </c>
      <c r="C17" s="536" t="s">
        <v>174</v>
      </c>
      <c r="D17" s="1310">
        <f>_xlfn.XLOOKUP('Outil simplifié'!D$10,Hypothèses!F$11:I$11,Hypothèses!F17:I17)</f>
        <v>256</v>
      </c>
      <c r="E17" s="536" t="s">
        <v>87</v>
      </c>
      <c r="F17" s="158">
        <f>D14-D12*2</f>
        <v>256</v>
      </c>
      <c r="G17" s="158">
        <f>D14-D12*2</f>
        <v>256</v>
      </c>
      <c r="H17" s="158">
        <f>D14-D12</f>
        <v>336</v>
      </c>
      <c r="I17" s="158">
        <f>D14-D12*2</f>
        <v>256</v>
      </c>
    </row>
    <row r="18" spans="2:9" outlineLevel="1">
      <c r="C18" t="s">
        <v>175</v>
      </c>
      <c r="D18" s="1310">
        <f>_xlfn.XLOOKUP('Outil simplifié'!D$10,Hypothèses!F$11:I$11,Hypothèses!F18:I18)</f>
        <v>42.666666666666664</v>
      </c>
      <c r="E18" t="s">
        <v>328</v>
      </c>
      <c r="F18" s="158">
        <f>D17/3/'Outil simplifié'!D13</f>
        <v>42.666666666666664</v>
      </c>
      <c r="G18" s="158">
        <f>D17/3/'Outil simplifié'!D13</f>
        <v>42.666666666666664</v>
      </c>
      <c r="H18" s="158">
        <f>D17/3/'Outil simplifié'!D13</f>
        <v>42.666666666666664</v>
      </c>
      <c r="I18" s="158">
        <f>D17/3/'Outil simplifié'!D13</f>
        <v>42.666666666666664</v>
      </c>
    </row>
    <row r="19" spans="2:9" outlineLevel="1">
      <c r="D19" s="1310">
        <f>_xlfn.XLOOKUP('Outil simplifié'!D$10,Hypothèses!F$11:I$11,Hypothèses!F19:I19)</f>
        <v>135.11111111111109</v>
      </c>
      <c r="E19" t="s">
        <v>87</v>
      </c>
      <c r="F19" s="158">
        <f>(D18/2)^2-4*D12</f>
        <v>135.11111111111109</v>
      </c>
      <c r="G19" s="158">
        <f>(D18/2)^2-4*D12</f>
        <v>135.11111111111109</v>
      </c>
      <c r="H19" s="158">
        <f>(D18/2)^2-4*D12</f>
        <v>135.11111111111109</v>
      </c>
      <c r="I19" s="158">
        <f>(D18/2)^2-4*D12</f>
        <v>135.11111111111109</v>
      </c>
    </row>
    <row r="20" spans="2:9" outlineLevel="1">
      <c r="B20" s="536" t="s">
        <v>4443</v>
      </c>
      <c r="C20" s="536"/>
      <c r="D20" s="1310">
        <f>_xlfn.XLOOKUP('Outil simplifié'!D$10,Hypothèses!F$11:I$11,Hypothèses!F20:I20)</f>
        <v>80</v>
      </c>
      <c r="E20" s="536" t="s">
        <v>87</v>
      </c>
      <c r="F20" s="158">
        <f>D12</f>
        <v>80</v>
      </c>
      <c r="G20" s="158">
        <v>0</v>
      </c>
      <c r="H20" s="158">
        <f>D12</f>
        <v>80</v>
      </c>
      <c r="I20" s="158">
        <f>D12</f>
        <v>80</v>
      </c>
    </row>
    <row r="21" spans="2:9" outlineLevel="1">
      <c r="B21" s="536" t="s">
        <v>435</v>
      </c>
      <c r="D21" s="1310">
        <f>_xlfn.XLOOKUP('Outil simplifié'!D$10,Hypothèses!F$11:I$11,Hypothèses!F21:I21)</f>
        <v>92.376043070340117</v>
      </c>
      <c r="E21" s="536" t="s">
        <v>87</v>
      </c>
      <c r="F21" s="158">
        <f>IF('Outil détaillé'!$F$28=Liste!G16,F20,F20/COS(PI()/6))</f>
        <v>92.376043070340117</v>
      </c>
      <c r="G21" s="158">
        <f>IF('Outil détaillé'!$F$28=Liste!H16,F20,F20/COS(PI()/6))</f>
        <v>92.376043070340117</v>
      </c>
      <c r="H21" s="158">
        <f>IF('Outil détaillé'!$F$28=Liste!I16,H20,H20/COS(PI()/6))</f>
        <v>92.376043070340117</v>
      </c>
      <c r="I21" s="158">
        <f>IF('Outil détaillé'!$F$28=Liste!J16,I20,I20/COS(PI()/6))</f>
        <v>92.376043070340117</v>
      </c>
    </row>
    <row r="22" spans="2:9" outlineLevel="1">
      <c r="D22" s="158"/>
      <c r="F22" s="158"/>
      <c r="G22" s="158"/>
      <c r="H22" s="158"/>
    </row>
    <row r="23" spans="2:9" outlineLevel="1">
      <c r="B23" s="536" t="s">
        <v>167</v>
      </c>
      <c r="C23" s="536" t="s">
        <v>168</v>
      </c>
      <c r="D23" s="1310">
        <f>_xlfn.XLOOKUP('Outil simplifié'!D$10,Hypothèses!F$11:I$11,Hypothèses!F23:I23)</f>
        <v>80</v>
      </c>
      <c r="E23" s="536" t="s">
        <v>87</v>
      </c>
      <c r="F23" s="158">
        <f>IF('Outil simplifié'!D17=0, 0, 'Outil simplifié'!D16/'Outil simplifié'!D17)</f>
        <v>80</v>
      </c>
      <c r="G23" s="158">
        <v>0</v>
      </c>
      <c r="H23" s="158">
        <v>0</v>
      </c>
    </row>
    <row r="24" spans="2:9" outlineLevel="1">
      <c r="B24" t="s">
        <v>3862</v>
      </c>
      <c r="D24" s="1310">
        <f>_xlfn.XLOOKUP('Outil simplifié'!D$10,Hypothèses!F$11:I$11,Hypothèses!F24:I24)</f>
        <v>8.9442719099991592</v>
      </c>
      <c r="E24" t="s">
        <v>328</v>
      </c>
      <c r="F24" s="158">
        <f>SQRT(F23)</f>
        <v>8.9442719099991592</v>
      </c>
      <c r="G24" s="158">
        <v>0</v>
      </c>
      <c r="H24" s="158">
        <v>0</v>
      </c>
    </row>
    <row r="25" spans="2:9" outlineLevel="1">
      <c r="D25" s="1310">
        <f>_xlfn.XLOOKUP('Outil simplifié'!D$10,Hypothèses!F$11:I$11,Hypothèses!F25:I25)</f>
        <v>10.544271909999159</v>
      </c>
      <c r="E25" t="s">
        <v>328</v>
      </c>
      <c r="F25" s="158">
        <f>F24+1.6</f>
        <v>10.544271909999159</v>
      </c>
      <c r="G25" s="158">
        <v>0</v>
      </c>
      <c r="H25" s="158">
        <v>0</v>
      </c>
    </row>
    <row r="26" spans="2:9" outlineLevel="1">
      <c r="B26" t="s">
        <v>3863</v>
      </c>
      <c r="D26" s="1310">
        <f>_xlfn.XLOOKUP('Outil simplifié'!D$10,Hypothèses!F$11:I$11,Hypothèses!F26:I26)</f>
        <v>111.18167011199731</v>
      </c>
      <c r="E26" t="s">
        <v>87</v>
      </c>
      <c r="F26" s="158">
        <f>F25*F25</f>
        <v>111.18167011199731</v>
      </c>
      <c r="G26" s="158">
        <v>0</v>
      </c>
      <c r="H26" s="158">
        <v>0</v>
      </c>
    </row>
    <row r="27" spans="2:9" outlineLevel="1">
      <c r="B27" t="s">
        <v>176</v>
      </c>
      <c r="C27" t="s">
        <v>177</v>
      </c>
      <c r="D27" s="1310">
        <f>_xlfn.XLOOKUP('Outil simplifié'!D$10,Hypothèses!F$11:I$11,Hypothèses!F27:I27)</f>
        <v>16.478531924720897</v>
      </c>
      <c r="E27" t="s">
        <v>328</v>
      </c>
      <c r="F27" s="158">
        <f>(F18/2+SQRT(F19))/2</f>
        <v>16.478531924720897</v>
      </c>
      <c r="G27" s="158">
        <v>0</v>
      </c>
      <c r="H27" s="158">
        <v>0</v>
      </c>
    </row>
    <row r="28" spans="2:9" outlineLevel="1">
      <c r="C28" t="s">
        <v>178</v>
      </c>
      <c r="D28" s="1310">
        <f>_xlfn.XLOOKUP('Outil simplifié'!D$10,Hypothèses!F$11:I$11,Hypothèses!F28:I28)</f>
        <v>4.8548014086124356</v>
      </c>
      <c r="E28" t="s">
        <v>328</v>
      </c>
      <c r="F28" s="158">
        <f>(F18/2-SQRT(F19))/2</f>
        <v>4.8548014086124356</v>
      </c>
      <c r="G28" s="158">
        <v>0</v>
      </c>
      <c r="H28" s="158">
        <v>0</v>
      </c>
    </row>
    <row r="29" spans="2:9" outlineLevel="1">
      <c r="B29" t="s">
        <v>179</v>
      </c>
      <c r="D29" s="1310">
        <f>_xlfn.XLOOKUP('Outil simplifié'!D$10,Hypothèses!F$11:I$11,Hypothèses!F29:I29)</f>
        <v>116.69333333333336</v>
      </c>
      <c r="E29" t="s">
        <v>87</v>
      </c>
      <c r="F29" s="158">
        <f>(F28+0.8*2)*(F27+0.8*2)</f>
        <v>116.69333333333336</v>
      </c>
      <c r="G29" s="158">
        <v>0</v>
      </c>
      <c r="H29" s="158">
        <v>0</v>
      </c>
    </row>
    <row r="30" spans="2:9" outlineLevel="1">
      <c r="B30" s="536" t="s">
        <v>180</v>
      </c>
      <c r="C30" s="536" t="s">
        <v>181</v>
      </c>
      <c r="D30" s="1310">
        <f>_xlfn.XLOOKUP('Outil simplifié'!D$10,Hypothèses!F$11:I$11,Hypothèses!F30:I30)</f>
        <v>86.8</v>
      </c>
      <c r="E30" s="536" t="s">
        <v>269</v>
      </c>
      <c r="F30" s="158">
        <f>F32*(F27+F32+0.8)*F32/3+F32*(F28+F32+0.8)*F32/3</f>
        <v>86.8</v>
      </c>
      <c r="G30" s="158">
        <v>0</v>
      </c>
      <c r="H30" s="158">
        <v>0</v>
      </c>
    </row>
    <row r="31" spans="2:9" outlineLevel="1">
      <c r="B31" s="536" t="s">
        <v>106</v>
      </c>
      <c r="C31" s="536" t="s">
        <v>181</v>
      </c>
      <c r="D31" s="1310">
        <f>_xlfn.XLOOKUP('Outil simplifié'!D$10,Hypothèses!F$11:I$11,Hypothèses!F31:I31)</f>
        <v>260.39999999999998</v>
      </c>
      <c r="E31" s="536" t="s">
        <v>269</v>
      </c>
      <c r="F31" s="158">
        <f>F32*(F27+F32+0.8)*F32+F32*(F28+F32+0.8)*F32</f>
        <v>260.39999999999998</v>
      </c>
      <c r="G31" s="158">
        <v>0</v>
      </c>
      <c r="H31" s="158">
        <v>0</v>
      </c>
    </row>
    <row r="32" spans="2:9" ht="15" customHeight="1" outlineLevel="1">
      <c r="B32" t="s">
        <v>182</v>
      </c>
      <c r="D32" s="1310">
        <f>_xlfn.XLOOKUP('Outil simplifié'!D$10,Hypothèses!F$11:I$11,Hypothèses!F32:I32)</f>
        <v>3</v>
      </c>
      <c r="E32" t="s">
        <v>328</v>
      </c>
      <c r="F32">
        <v>3</v>
      </c>
    </row>
    <row r="33" spans="2:10">
      <c r="D33" s="158"/>
    </row>
    <row r="34" spans="2:10" outlineLevel="1">
      <c r="B34" s="536" t="s">
        <v>3655</v>
      </c>
      <c r="C34" s="536"/>
      <c r="D34" s="1310">
        <f>_xlfn.XLOOKUP('Outil simplifié'!D$10,Hypothèses!F$11:I$11,Hypothèses!F34:I34)</f>
        <v>72</v>
      </c>
      <c r="E34" s="536" t="s">
        <v>87</v>
      </c>
      <c r="F34">
        <f>IF(Hypothèses!D12&gt;900,2.5*4.8*D3*'Outil simplifié'!D13*2,2.5*4.8*D3*'Outil simplifié'!D13)</f>
        <v>72</v>
      </c>
      <c r="G34" s="158">
        <v>0</v>
      </c>
      <c r="H34" s="158">
        <v>0</v>
      </c>
    </row>
    <row r="35" spans="2:10" outlineLevel="1">
      <c r="B35" s="536" t="s">
        <v>3999</v>
      </c>
      <c r="C35" s="536"/>
      <c r="D35" s="1310">
        <f>_xlfn.XLOOKUP('Outil simplifié'!D$10,Hypothèses!F$11:I$11,Hypothèses!F35:I35)</f>
        <v>500.34501033599196</v>
      </c>
      <c r="E35" s="536" t="s">
        <v>269</v>
      </c>
      <c r="F35">
        <f>(Hypothèses!F23*Hypothèses!D3*'Outil simplifié'!D17)+((Hypothèses!F26-Hypothèses!F23)*Hypothèses!D3*'Outil simplifié'!D17)+IF('Outil simplifié'!D28=Liste!B10, Hypothèses!F30,Hypothèses!F31)+1*Hypothèses!D12</f>
        <v>500.34501033599196</v>
      </c>
      <c r="G35" s="158">
        <v>0</v>
      </c>
      <c r="H35" s="158">
        <v>0</v>
      </c>
    </row>
    <row r="36" spans="2:10" outlineLevel="1">
      <c r="B36" s="536" t="s">
        <v>406</v>
      </c>
      <c r="C36" s="536"/>
      <c r="D36" s="1310">
        <f>_xlfn.XLOOKUP('Outil simplifié'!D$10,Hypothèses!F$11:I$11,Hypothèses!F36:I36)</f>
        <v>126.8</v>
      </c>
      <c r="E36" s="536" t="s">
        <v>269</v>
      </c>
      <c r="F36" s="1310">
        <f>IF('Outil simplifié'!D28=Liste!B10, Hypothèses!F30,Hypothèses!F31)+0.5*Hypothèses!D15</f>
        <v>126.8</v>
      </c>
      <c r="G36" s="158">
        <v>0</v>
      </c>
      <c r="H36" s="158">
        <v>0</v>
      </c>
    </row>
    <row r="37" spans="2:10" outlineLevel="1">
      <c r="B37" s="536" t="s">
        <v>107</v>
      </c>
      <c r="C37" s="536"/>
      <c r="D37" s="1310">
        <f>_xlfn.XLOOKUP('Outil simplifié'!D$10,Hypothèses!F$11:I$11,Hypothèses!F37:I37)</f>
        <v>53.333333333333329</v>
      </c>
      <c r="E37" s="536" t="s">
        <v>87</v>
      </c>
      <c r="F37" s="1310">
        <f>Hypothèses!F18+'Outil détaillé'!K31/'Outil simplifié'!D13/Hypothèses!D3</f>
        <v>53.333333333333329</v>
      </c>
      <c r="G37" s="158">
        <v>0</v>
      </c>
      <c r="H37" s="158">
        <v>0</v>
      </c>
    </row>
    <row r="38" spans="2:10" outlineLevel="1">
      <c r="B38" s="536" t="s">
        <v>412</v>
      </c>
      <c r="C38" s="536"/>
      <c r="D38" s="1310">
        <f>_xlfn.XLOOKUP('Outil simplifié'!D$10,Hypothèses!F$11:I$11,Hypothèses!F38:I38)</f>
        <v>80</v>
      </c>
      <c r="E38" s="536" t="s">
        <v>87</v>
      </c>
      <c r="F38" s="1310">
        <f>Hypothèses!D15</f>
        <v>80</v>
      </c>
      <c r="G38" s="158">
        <v>0</v>
      </c>
      <c r="H38" s="158">
        <v>0</v>
      </c>
    </row>
    <row r="39" spans="2:10" outlineLevel="1">
      <c r="B39" s="536"/>
      <c r="C39" s="536"/>
      <c r="D39" s="1310"/>
      <c r="E39" s="536"/>
      <c r="F39" s="1310"/>
      <c r="G39" s="158"/>
      <c r="H39" s="158"/>
    </row>
    <row r="40" spans="2:10" s="171" customFormat="1" ht="16.5" thickBot="1"/>
    <row r="41" spans="2:10" outlineLevel="1">
      <c r="B41" s="1209" t="s">
        <v>3662</v>
      </c>
      <c r="D41" t="s">
        <v>3763</v>
      </c>
      <c r="E41" t="s">
        <v>3765</v>
      </c>
      <c r="F41" t="s">
        <v>3764</v>
      </c>
      <c r="G41" t="s">
        <v>3768</v>
      </c>
      <c r="H41" t="s">
        <v>3769</v>
      </c>
      <c r="I41" s="1209" t="s">
        <v>87</v>
      </c>
      <c r="J41" s="1209"/>
    </row>
    <row r="42" spans="2:10" outlineLevel="1">
      <c r="C42" t="s">
        <v>344</v>
      </c>
      <c r="D42">
        <f>1.1</f>
        <v>1.1000000000000001</v>
      </c>
      <c r="E42">
        <v>1.1000000000000001</v>
      </c>
      <c r="F42">
        <f>ROUNDUP(MAX(D42*'Outil simplifié'!$F$13,E42*'Outil simplifié'!$D$12/100),0)</f>
        <v>2</v>
      </c>
      <c r="G42" cm="1">
        <f t="array" ref="G42">_xlfn.SWITCH('Outil simplifié'!D9,Hypothèses!C42,Hypothèses!F42,Hypothèses!C43,Hypothèses!F43,Hypothèses!C44,Hypothèses!F44)</f>
        <v>2</v>
      </c>
      <c r="H42">
        <f>2.65*5</f>
        <v>13.25</v>
      </c>
      <c r="I42" s="1209">
        <f>IF(ISBLANK('Outil simplifié'!D18),G42*H42,'Outil simplifié'!D18*H42)</f>
        <v>0</v>
      </c>
      <c r="J42" s="1209"/>
    </row>
    <row r="43" spans="2:10" outlineLevel="1">
      <c r="C43" t="s">
        <v>3798</v>
      </c>
      <c r="D43">
        <v>1.1000000000000001</v>
      </c>
      <c r="E43">
        <v>1.1000000000000001</v>
      </c>
      <c r="F43">
        <f>ROUNDUP(MAX(D43*'Outil simplifié'!$F$13,E43*'Outil simplifié'!$D$12/100),0)</f>
        <v>2</v>
      </c>
    </row>
    <row r="44" spans="2:10" outlineLevel="1">
      <c r="C44" t="s">
        <v>79</v>
      </c>
      <c r="E44">
        <v>2.5</v>
      </c>
      <c r="F44">
        <f>ROUNDUP(MAX(D44*'Outil simplifié'!$F$13,E44*'Outil simplifié'!$D$12/100),0)</f>
        <v>4</v>
      </c>
    </row>
    <row r="46" spans="2:10" outlineLevel="1">
      <c r="B46" s="1209" t="s">
        <v>3760</v>
      </c>
      <c r="D46" t="s">
        <v>3778</v>
      </c>
      <c r="F46" t="s">
        <v>3782</v>
      </c>
      <c r="G46" t="s">
        <v>3779</v>
      </c>
      <c r="I46" t="s">
        <v>87</v>
      </c>
    </row>
    <row r="47" spans="2:10" outlineLevel="1">
      <c r="C47" t="s">
        <v>344</v>
      </c>
      <c r="D47">
        <v>5.75</v>
      </c>
      <c r="F47" s="1250">
        <v>10</v>
      </c>
      <c r="G47">
        <f>IF(ISBLANK('Outil simplifié'!$D$19),F47*D47,'Outil simplifié'!$D$19*D47)</f>
        <v>57.5</v>
      </c>
      <c r="I47" s="1209" cm="1">
        <f t="array" ref="I47">_xlfn.SWITCH('Outil simplifié'!D9,Hypothèses!C47,Hypothèses!G47,Hypothèses!C49,Hypothèses!G49,C48,G48)</f>
        <v>57.5</v>
      </c>
    </row>
    <row r="48" spans="2:10" outlineLevel="1">
      <c r="C48" t="s">
        <v>3798</v>
      </c>
      <c r="D48">
        <v>5.75</v>
      </c>
      <c r="F48" s="1250">
        <v>10</v>
      </c>
      <c r="G48">
        <f>IF(ISBLANK('Outil simplifié'!$D$19),F48*D48,'Outil simplifié'!$D$19*D48)</f>
        <v>57.5</v>
      </c>
      <c r="I48" s="1209"/>
    </row>
    <row r="49" spans="2:7" outlineLevel="1">
      <c r="C49" t="s">
        <v>79</v>
      </c>
      <c r="D49">
        <v>5.75</v>
      </c>
      <c r="F49" s="1250">
        <v>10</v>
      </c>
      <c r="G49">
        <f>IF(ISBLANK('Outil simplifié'!$D$19),F49*D49,'Outil simplifié'!$D$19*D49)</f>
        <v>57.5</v>
      </c>
    </row>
    <row r="51" spans="2:7" s="646" customFormat="1" ht="16.5" thickBot="1"/>
    <row r="52" spans="2:7" ht="21.75" thickTop="1">
      <c r="B52" s="173" t="s">
        <v>3861</v>
      </c>
    </row>
    <row r="53" spans="2:7" ht="16.5" thickBot="1"/>
    <row r="54" spans="2:7">
      <c r="C54" s="253" t="s">
        <v>160</v>
      </c>
      <c r="D54" s="175">
        <v>60</v>
      </c>
    </row>
    <row r="55" spans="2:7" ht="16.5" thickBot="1">
      <c r="C55" s="255" t="s">
        <v>161</v>
      </c>
      <c r="D55" s="172">
        <v>2022</v>
      </c>
    </row>
    <row r="56" spans="2:7">
      <c r="C56" s="253" t="s">
        <v>162</v>
      </c>
      <c r="D56" s="175"/>
    </row>
    <row r="57" spans="2:7" ht="16.5" thickBot="1">
      <c r="C57" s="255" t="s">
        <v>163</v>
      </c>
      <c r="D57" s="172">
        <v>2022</v>
      </c>
    </row>
  </sheetData>
  <customSheetViews>
    <customSheetView guid="{B32447E2-AB5B-4CBB-881B-FF11349CA4D6}" showPageBreaks="1" printArea="1" view="pageLayout">
      <selection activeCell="F14" sqref="F14"/>
      <pageMargins left="0" right="0" top="0" bottom="0" header="0" footer="0"/>
      <pageSetup paperSize="9" orientation="landscape" r:id="rId1"/>
    </customSheetView>
    <customSheetView guid="{9FA74287-E657-475B-BF4B-3C8C757714AE}" showPageBreaks="1" printArea="1">
      <selection sqref="A1:L31"/>
      <pageMargins left="0" right="0" top="0" bottom="0" header="0" footer="0"/>
      <pageSetup paperSize="9" orientation="landscape" r:id="rId2"/>
    </customSheetView>
    <customSheetView guid="{54A7C567-FA7D-467E-B353-ECB5E61AE756}">
      <selection activeCell="F6" sqref="F6:L8"/>
      <pageMargins left="0" right="0" top="0" bottom="0" header="0" footer="0"/>
      <pageSetup paperSize="9" orientation="landscape" r:id="rId3"/>
    </customSheetView>
  </customSheetViews>
  <phoneticPr fontId="68" type="noConversion"/>
  <pageMargins left="0" right="0" top="0" bottom="0" header="0" footer="0"/>
  <pageSetup paperSize="9" orientation="landscape"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4794-69E1-4EB0-B1F2-EF36A61AC465}">
  <dimension ref="A1:AD118"/>
  <sheetViews>
    <sheetView workbookViewId="0">
      <selection activeCell="A8" sqref="A8"/>
    </sheetView>
  </sheetViews>
  <sheetFormatPr baseColWidth="10" defaultColWidth="7" defaultRowHeight="15.75"/>
  <cols>
    <col min="1" max="1" width="30.125" style="1675" customWidth="1"/>
    <col min="2" max="2" width="64" style="1675" bestFit="1" customWidth="1"/>
    <col min="3" max="3" width="4.375" style="1675" customWidth="1"/>
    <col min="4" max="4" width="19.625" style="1675" bestFit="1" customWidth="1"/>
    <col min="5" max="5" width="22.875" style="1689" customWidth="1"/>
    <col min="6" max="18" width="6.5" style="1689" customWidth="1"/>
    <col min="19" max="19" width="4.375" style="1675" customWidth="1"/>
    <col min="20" max="20" width="7.875" style="1675" customWidth="1"/>
    <col min="21" max="21" width="2.5" style="1675" customWidth="1"/>
    <col min="22" max="22" width="6" style="1675" customWidth="1"/>
    <col min="23" max="23" width="35.5" style="1675" bestFit="1" customWidth="1"/>
    <col min="24" max="16384" width="7" style="1675"/>
  </cols>
  <sheetData>
    <row r="1" spans="1:18" s="1671" customFormat="1" ht="12" customHeight="1">
      <c r="A1" s="1666"/>
      <c r="B1" s="1667"/>
      <c r="C1" s="1668"/>
      <c r="D1" s="1667"/>
      <c r="E1" s="1669" t="str">
        <f>'Outil simplifié'!D10</f>
        <v>Neuf</v>
      </c>
      <c r="F1" s="1670"/>
      <c r="G1" s="1670"/>
      <c r="H1" s="1670"/>
      <c r="I1" s="1670"/>
      <c r="J1" s="1670"/>
      <c r="K1" s="1670"/>
      <c r="L1" s="1670"/>
      <c r="M1" s="1670"/>
      <c r="N1" s="1670"/>
      <c r="O1" s="1670"/>
      <c r="P1" s="1670"/>
      <c r="Q1" s="1670"/>
      <c r="R1" s="1670"/>
    </row>
    <row r="2" spans="1:18" s="1681" customFormat="1" ht="12" customHeight="1">
      <c r="A2" s="1676"/>
      <c r="B2" s="1677" t="s">
        <v>4101</v>
      </c>
      <c r="C2" s="1678" t="s">
        <v>4102</v>
      </c>
      <c r="D2" s="1677" t="s">
        <v>4103</v>
      </c>
      <c r="E2" s="1679">
        <f>'Outil simplifié'!J10</f>
        <v>600</v>
      </c>
      <c r="F2" s="1680"/>
      <c r="G2" s="1680"/>
      <c r="H2" s="1680"/>
      <c r="I2" s="1680"/>
      <c r="J2" s="1680"/>
      <c r="K2" s="1680"/>
      <c r="L2" s="1680"/>
      <c r="M2" s="1680"/>
      <c r="N2" s="1680"/>
      <c r="O2" s="1680"/>
      <c r="P2" s="1680"/>
    </row>
    <row r="3" spans="1:18" ht="12" customHeight="1">
      <c r="A3" s="1666"/>
      <c r="B3" s="1672" t="s">
        <v>4104</v>
      </c>
      <c r="C3" s="1682" t="s">
        <v>251</v>
      </c>
      <c r="D3" s="1683" t="s">
        <v>4105</v>
      </c>
      <c r="E3" s="1674">
        <f>'Outil simplifié'!D12</f>
        <v>160</v>
      </c>
      <c r="F3" s="1670"/>
      <c r="G3" s="1670"/>
      <c r="H3" s="1670"/>
      <c r="I3" s="1670"/>
      <c r="J3" s="1670"/>
      <c r="K3" s="1670"/>
      <c r="L3" s="1670"/>
      <c r="M3" s="1670"/>
      <c r="N3" s="1670"/>
      <c r="O3" s="1670"/>
      <c r="P3" s="1670"/>
      <c r="Q3" s="1675"/>
      <c r="R3" s="1675"/>
    </row>
    <row r="4" spans="1:18" s="1681" customFormat="1" ht="12" customHeight="1">
      <c r="A4" s="1676"/>
      <c r="B4" s="1677"/>
      <c r="C4" s="1684"/>
      <c r="D4" s="1685"/>
      <c r="E4" s="1679"/>
      <c r="F4" s="1680"/>
      <c r="G4" s="1680"/>
      <c r="H4" s="1680"/>
      <c r="I4" s="1686" t="s">
        <v>4106</v>
      </c>
      <c r="J4" s="1680"/>
      <c r="K4" s="1680"/>
      <c r="L4" s="1680"/>
      <c r="M4" s="1680"/>
      <c r="N4" s="1680"/>
      <c r="O4" s="1680"/>
      <c r="P4" s="1680"/>
    </row>
    <row r="5" spans="1:18" ht="12.75" customHeight="1">
      <c r="A5" s="1687" t="s">
        <v>3781</v>
      </c>
      <c r="B5" s="1672" t="s">
        <v>4442</v>
      </c>
      <c r="C5" s="1682"/>
      <c r="D5" s="1683" t="s">
        <v>4105</v>
      </c>
      <c r="E5" s="1674">
        <f>'Outil détaillé'!K29</f>
        <v>92.376043070340117</v>
      </c>
      <c r="F5" s="1682" t="s">
        <v>4107</v>
      </c>
      <c r="G5" s="1672" t="s">
        <v>4108</v>
      </c>
      <c r="H5" s="1688">
        <f>IF('Outil simplifié'!D38=Liste!G50,2,Isolation!H27)</f>
        <v>0.17</v>
      </c>
      <c r="I5" s="1670"/>
      <c r="J5" s="1670"/>
      <c r="K5" s="1670"/>
      <c r="O5" s="1672"/>
      <c r="P5" s="1675"/>
      <c r="Q5" s="1675"/>
    </row>
    <row r="6" spans="1:18" s="1697" customFormat="1" ht="12" customHeight="1">
      <c r="A6" s="1666"/>
      <c r="B6" s="1690" t="s">
        <v>4109</v>
      </c>
      <c r="C6" s="1691"/>
      <c r="D6" s="1692" t="s">
        <v>4110</v>
      </c>
      <c r="E6" s="1693"/>
      <c r="F6" s="1694" t="s">
        <v>4111</v>
      </c>
      <c r="G6" s="1695" t="s">
        <v>4108</v>
      </c>
      <c r="H6" s="1696"/>
      <c r="I6" s="1694" t="s">
        <v>4112</v>
      </c>
      <c r="J6" s="1695" t="s">
        <v>1012</v>
      </c>
      <c r="K6" s="1696"/>
      <c r="N6" s="1695"/>
    </row>
    <row r="7" spans="1:18" ht="12" customHeight="1">
      <c r="A7" s="1666"/>
      <c r="B7" s="1698" t="s">
        <v>4113</v>
      </c>
      <c r="C7" s="1699"/>
      <c r="D7" s="1683" t="s">
        <v>4110</v>
      </c>
      <c r="E7" s="1674">
        <f>'Outil détaillé'!K21</f>
        <v>217.6</v>
      </c>
      <c r="F7" s="1682" t="s">
        <v>4114</v>
      </c>
      <c r="G7" s="1672" t="s">
        <v>4108</v>
      </c>
      <c r="H7" s="1688">
        <f>IF('Outil simplifié'!D35=Liste!I49,2,Isolation!H9)</f>
        <v>0.17</v>
      </c>
      <c r="I7" s="1670"/>
      <c r="J7" s="1670"/>
      <c r="K7" s="1670"/>
      <c r="N7" s="1695"/>
    </row>
    <row r="8" spans="1:18" s="1697" customFormat="1" ht="12" customHeight="1">
      <c r="A8" s="1666"/>
      <c r="B8" s="1690" t="s">
        <v>4115</v>
      </c>
      <c r="C8" s="1691"/>
      <c r="D8" s="1692" t="s">
        <v>4110</v>
      </c>
      <c r="E8" s="1693"/>
      <c r="F8" s="1694" t="s">
        <v>4116</v>
      </c>
      <c r="G8" s="1695" t="s">
        <v>4108</v>
      </c>
      <c r="H8" s="1696"/>
      <c r="I8" s="1682" t="s">
        <v>4117</v>
      </c>
      <c r="J8" s="1672" t="s">
        <v>1012</v>
      </c>
      <c r="K8" s="1688">
        <v>0.8</v>
      </c>
      <c r="N8" s="1672"/>
    </row>
    <row r="9" spans="1:18" ht="12" customHeight="1">
      <c r="A9" s="1666"/>
      <c r="B9" s="1698" t="s">
        <v>4118</v>
      </c>
      <c r="C9" s="1699"/>
      <c r="D9" s="1683" t="s">
        <v>4110</v>
      </c>
      <c r="E9" s="1674">
        <f>IF('Outil détaillé'!F14=Liste!A9,0,'Outil détaillé'!K14)</f>
        <v>0</v>
      </c>
      <c r="F9" s="1682" t="s">
        <v>4119</v>
      </c>
      <c r="G9" s="1672" t="s">
        <v>4108</v>
      </c>
      <c r="H9" s="1688">
        <f>Isolation!H3</f>
        <v>0.25</v>
      </c>
      <c r="I9" s="1682" t="s">
        <v>4120</v>
      </c>
      <c r="J9" s="1672" t="s">
        <v>1012</v>
      </c>
      <c r="K9" s="1688">
        <v>0.8</v>
      </c>
      <c r="N9" s="1695"/>
    </row>
    <row r="10" spans="1:18" s="1697" customFormat="1" ht="12" customHeight="1">
      <c r="A10" s="1666"/>
      <c r="B10" s="1690" t="s">
        <v>4121</v>
      </c>
      <c r="C10" s="1691"/>
      <c r="D10" s="1692" t="s">
        <v>4110</v>
      </c>
      <c r="E10" s="1693"/>
      <c r="F10" s="1694" t="s">
        <v>4122</v>
      </c>
      <c r="G10" s="1695" t="s">
        <v>4108</v>
      </c>
      <c r="H10" s="1696"/>
      <c r="I10" s="1670"/>
      <c r="J10" s="1670"/>
      <c r="K10" s="1670"/>
      <c r="L10" s="1689"/>
      <c r="M10" s="1689"/>
      <c r="N10" s="1696"/>
    </row>
    <row r="11" spans="1:18" s="1697" customFormat="1" ht="12" customHeight="1">
      <c r="A11" s="1666"/>
      <c r="B11" s="1690" t="s">
        <v>4123</v>
      </c>
      <c r="C11" s="1691"/>
      <c r="D11" s="1692" t="s">
        <v>4110</v>
      </c>
      <c r="E11" s="1693"/>
      <c r="F11" s="1694" t="s">
        <v>4124</v>
      </c>
      <c r="G11" s="1695" t="s">
        <v>4108</v>
      </c>
      <c r="H11" s="1696"/>
      <c r="I11" s="1670"/>
      <c r="J11" s="1670"/>
      <c r="K11" s="1670"/>
      <c r="O11" s="1672"/>
    </row>
    <row r="12" spans="1:18" ht="12" customHeight="1">
      <c r="A12" s="1666"/>
      <c r="B12" s="1698" t="s">
        <v>4125</v>
      </c>
      <c r="C12" s="1699"/>
      <c r="D12" s="1683" t="s">
        <v>4110</v>
      </c>
      <c r="E12" s="1674">
        <f>'Outil détaillé'!K52</f>
        <v>80</v>
      </c>
      <c r="F12" s="1682" t="s">
        <v>4126</v>
      </c>
      <c r="G12" s="1672" t="s">
        <v>4108</v>
      </c>
      <c r="H12" s="1688">
        <f>Isolation!H36</f>
        <v>0.25</v>
      </c>
      <c r="I12" s="1670"/>
      <c r="J12" s="1670"/>
      <c r="K12" s="1670"/>
      <c r="L12" s="1695"/>
      <c r="M12" s="1694" t="s">
        <v>4127</v>
      </c>
      <c r="N12" s="1695" t="s">
        <v>4128</v>
      </c>
      <c r="O12" s="1672"/>
    </row>
    <row r="13" spans="1:18" ht="12" customHeight="1">
      <c r="A13" s="1666"/>
      <c r="B13" s="1672" t="s">
        <v>4129</v>
      </c>
      <c r="C13" s="1682"/>
      <c r="D13" s="1683" t="s">
        <v>4110</v>
      </c>
      <c r="E13" s="1689">
        <f>IF('Outil détaillé'!F12=Liste!A9,0,'Outil détaillé'!K12)</f>
        <v>0</v>
      </c>
      <c r="F13" s="1682" t="s">
        <v>4130</v>
      </c>
      <c r="G13" s="1672" t="s">
        <v>4108</v>
      </c>
      <c r="H13" s="1688">
        <f>Isolation!H21</f>
        <v>0.17</v>
      </c>
      <c r="I13" s="1682" t="s">
        <v>4131</v>
      </c>
      <c r="J13" s="1672" t="s">
        <v>1012</v>
      </c>
      <c r="K13" s="1688">
        <v>0.8</v>
      </c>
      <c r="O13" s="1695"/>
    </row>
    <row r="14" spans="1:18" ht="12" customHeight="1">
      <c r="A14" s="1666"/>
      <c r="B14" s="1698" t="s">
        <v>4132</v>
      </c>
      <c r="C14" s="1699"/>
      <c r="D14" s="1683" t="s">
        <v>4110</v>
      </c>
      <c r="F14" s="1682" t="s">
        <v>4126</v>
      </c>
      <c r="G14" s="1672" t="s">
        <v>4108</v>
      </c>
      <c r="H14" s="1688">
        <f>Isolation!H36</f>
        <v>0.25</v>
      </c>
      <c r="I14" s="1682" t="s">
        <v>4133</v>
      </c>
      <c r="J14" s="1672" t="s">
        <v>1012</v>
      </c>
      <c r="K14" s="1688">
        <v>0.8</v>
      </c>
    </row>
    <row r="15" spans="1:18" s="1697" customFormat="1" ht="12" customHeight="1">
      <c r="A15" s="1666"/>
      <c r="B15" s="1690" t="s">
        <v>4134</v>
      </c>
      <c r="C15" s="1691"/>
      <c r="D15" s="1692" t="s">
        <v>4110</v>
      </c>
      <c r="E15" s="1693"/>
      <c r="F15" s="1694" t="s">
        <v>4135</v>
      </c>
      <c r="G15" s="1695" t="s">
        <v>4108</v>
      </c>
      <c r="H15" s="1696"/>
      <c r="I15" s="1670"/>
      <c r="J15" s="1670"/>
      <c r="K15" s="1670"/>
      <c r="O15" s="1695"/>
    </row>
    <row r="16" spans="1:18" s="1707" customFormat="1" ht="12" customHeight="1">
      <c r="A16" s="1676"/>
      <c r="B16" s="1700" t="s">
        <v>4136</v>
      </c>
      <c r="C16" s="1701"/>
      <c r="D16" s="1702" t="s">
        <v>4110</v>
      </c>
      <c r="E16" s="1703"/>
      <c r="F16" s="1704" t="s">
        <v>4137</v>
      </c>
      <c r="G16" s="1705" t="s">
        <v>4108</v>
      </c>
      <c r="H16" s="1706"/>
      <c r="I16" s="1680"/>
      <c r="J16" s="1680"/>
      <c r="K16" s="1680"/>
      <c r="L16" s="1704" t="s">
        <v>4138</v>
      </c>
      <c r="M16" s="1705" t="s">
        <v>4139</v>
      </c>
      <c r="N16" s="1706"/>
      <c r="O16" s="1677"/>
    </row>
    <row r="17" spans="1:23" ht="12" customHeight="1">
      <c r="A17" s="1687" t="s">
        <v>248</v>
      </c>
      <c r="B17" s="1708" t="s">
        <v>94</v>
      </c>
      <c r="C17" s="1699"/>
      <c r="D17" s="1683"/>
      <c r="E17" s="1709">
        <f>'Outil simplifié'!D15</f>
        <v>0.15</v>
      </c>
      <c r="F17" s="1670"/>
      <c r="G17" s="1670"/>
      <c r="H17" s="1670"/>
      <c r="I17" s="1670"/>
      <c r="J17" s="1670"/>
      <c r="K17" s="1670"/>
      <c r="O17" s="1672"/>
      <c r="W17" s="1710"/>
    </row>
    <row r="18" spans="1:23" s="1697" customFormat="1" ht="12" customHeight="1">
      <c r="A18" s="1666"/>
      <c r="B18" s="1690" t="s">
        <v>4140</v>
      </c>
      <c r="C18" s="1691"/>
      <c r="D18" s="1692" t="s">
        <v>4110</v>
      </c>
      <c r="E18" s="1693"/>
      <c r="F18" s="1694" t="s">
        <v>4141</v>
      </c>
      <c r="G18" s="1695" t="s">
        <v>4108</v>
      </c>
      <c r="H18" s="1696">
        <v>0.82</v>
      </c>
      <c r="I18" s="1670"/>
      <c r="J18" s="1670"/>
      <c r="K18" s="1670"/>
      <c r="O18" s="1672"/>
    </row>
    <row r="19" spans="1:23" ht="12" customHeight="1">
      <c r="A19" s="1666"/>
      <c r="B19" s="1698" t="s">
        <v>4142</v>
      </c>
      <c r="C19" s="1699"/>
      <c r="D19" s="1683" t="s">
        <v>4110</v>
      </c>
      <c r="E19" s="1689">
        <f>E17/(1-E17)*E7/4</f>
        <v>9.6</v>
      </c>
      <c r="F19" s="1682" t="s">
        <v>4143</v>
      </c>
      <c r="G19" s="1672" t="s">
        <v>4108</v>
      </c>
      <c r="H19" s="1696">
        <v>0.82</v>
      </c>
      <c r="I19" s="1670"/>
      <c r="J19" s="1670"/>
      <c r="K19" s="1670"/>
      <c r="O19" s="1672"/>
    </row>
    <row r="20" spans="1:23" ht="12" customHeight="1">
      <c r="A20" s="1666"/>
      <c r="B20" s="1698" t="s">
        <v>4144</v>
      </c>
      <c r="C20" s="1699"/>
      <c r="D20" s="1683" t="s">
        <v>4110</v>
      </c>
      <c r="E20" s="1689">
        <f>E$19</f>
        <v>9.6</v>
      </c>
      <c r="F20" s="1682" t="s">
        <v>4145</v>
      </c>
      <c r="G20" s="1672" t="s">
        <v>4108</v>
      </c>
      <c r="H20" s="1696">
        <v>0.82</v>
      </c>
      <c r="I20" s="1670"/>
      <c r="J20" s="1670"/>
      <c r="K20" s="1670"/>
      <c r="O20" s="1672"/>
    </row>
    <row r="21" spans="1:23" ht="12" customHeight="1">
      <c r="A21" s="1666"/>
      <c r="B21" s="1698" t="s">
        <v>4146</v>
      </c>
      <c r="C21" s="1699"/>
      <c r="D21" s="1683" t="s">
        <v>4110</v>
      </c>
      <c r="E21" s="1689">
        <f>E$19</f>
        <v>9.6</v>
      </c>
      <c r="F21" s="1682" t="s">
        <v>4147</v>
      </c>
      <c r="G21" s="1672" t="s">
        <v>4108</v>
      </c>
      <c r="H21" s="1696">
        <v>0.82</v>
      </c>
      <c r="I21" s="1670"/>
      <c r="J21" s="1670"/>
      <c r="K21" s="1670"/>
      <c r="O21" s="1695"/>
    </row>
    <row r="22" spans="1:23" ht="12" customHeight="1">
      <c r="A22" s="1666"/>
      <c r="B22" s="1698" t="s">
        <v>4148</v>
      </c>
      <c r="C22" s="1699"/>
      <c r="D22" s="1683" t="s">
        <v>4110</v>
      </c>
      <c r="E22" s="1689">
        <f>E$19</f>
        <v>9.6</v>
      </c>
      <c r="F22" s="1682" t="s">
        <v>4149</v>
      </c>
      <c r="G22" s="1672" t="s">
        <v>4108</v>
      </c>
      <c r="H22" s="1696">
        <v>0.82</v>
      </c>
      <c r="I22" s="1670"/>
      <c r="J22" s="1670"/>
      <c r="K22" s="1670"/>
      <c r="O22" s="1695"/>
    </row>
    <row r="23" spans="1:23" ht="12" customHeight="1">
      <c r="A23" s="1666"/>
      <c r="B23" s="1672" t="s">
        <v>4150</v>
      </c>
      <c r="C23" s="1682" t="s">
        <v>4151</v>
      </c>
      <c r="D23" s="1672" t="s">
        <v>1012</v>
      </c>
      <c r="E23" s="1711">
        <v>0.61</v>
      </c>
      <c r="F23" s="1670"/>
      <c r="G23" s="1670"/>
      <c r="H23" s="1670"/>
      <c r="I23" s="1670"/>
      <c r="J23" s="1670"/>
      <c r="K23" s="1670"/>
      <c r="L23" s="1670"/>
      <c r="M23" s="1670"/>
      <c r="N23" s="1670"/>
      <c r="O23" s="1670"/>
      <c r="P23" s="1670"/>
      <c r="Q23" s="1670"/>
      <c r="R23" s="1670"/>
    </row>
    <row r="24" spans="1:23" ht="12" customHeight="1">
      <c r="A24" s="1666"/>
      <c r="B24" s="1672" t="s">
        <v>4152</v>
      </c>
      <c r="C24" s="1682" t="s">
        <v>4153</v>
      </c>
      <c r="D24" s="1672" t="s">
        <v>1012</v>
      </c>
      <c r="E24" s="1712">
        <v>0.9</v>
      </c>
      <c r="F24" s="1670"/>
      <c r="G24" s="1670"/>
      <c r="H24" s="1670"/>
      <c r="I24" s="1670"/>
      <c r="J24" s="1670"/>
      <c r="K24" s="1670"/>
      <c r="L24" s="1670"/>
      <c r="M24" s="1670"/>
      <c r="N24" s="1670"/>
      <c r="O24" s="1670"/>
      <c r="P24" s="1670"/>
      <c r="Q24" s="1670"/>
      <c r="R24" s="1670"/>
    </row>
    <row r="25" spans="1:23" s="1716" customFormat="1" ht="12" customHeight="1">
      <c r="A25" s="1666"/>
      <c r="B25" s="1713" t="s">
        <v>4154</v>
      </c>
      <c r="C25" s="1714" t="s">
        <v>4155</v>
      </c>
      <c r="D25" s="1713" t="s">
        <v>1012</v>
      </c>
      <c r="E25" s="1715"/>
      <c r="F25" s="1670"/>
      <c r="G25" s="1670"/>
      <c r="H25" s="1670"/>
      <c r="I25" s="1670"/>
      <c r="J25" s="1670"/>
      <c r="K25" s="1670"/>
      <c r="L25" s="1670"/>
      <c r="M25" s="1670"/>
      <c r="N25" s="1670"/>
      <c r="O25" s="1670"/>
      <c r="P25" s="1670"/>
      <c r="Q25" s="1670"/>
      <c r="R25" s="1670"/>
    </row>
    <row r="26" spans="1:23" ht="12" customHeight="1">
      <c r="A26" s="1666"/>
      <c r="B26" s="1683" t="s">
        <v>4156</v>
      </c>
      <c r="C26" s="1682" t="s">
        <v>4157</v>
      </c>
      <c r="D26" s="1672" t="s">
        <v>1012</v>
      </c>
      <c r="E26" s="1688">
        <v>0.59</v>
      </c>
      <c r="F26" s="1670"/>
      <c r="G26" s="1670"/>
      <c r="H26" s="1670"/>
      <c r="I26" s="1670"/>
      <c r="J26" s="1670"/>
      <c r="K26" s="1670"/>
      <c r="L26" s="1670"/>
      <c r="M26" s="1670"/>
      <c r="N26" s="1670"/>
      <c r="O26" s="1670"/>
      <c r="P26" s="1670"/>
      <c r="Q26" s="1670"/>
      <c r="R26" s="1670"/>
    </row>
    <row r="27" spans="1:23" ht="12" customHeight="1">
      <c r="A27" s="1666"/>
      <c r="B27" s="1672" t="s">
        <v>4158</v>
      </c>
      <c r="C27" s="1682" t="s">
        <v>4159</v>
      </c>
      <c r="D27" s="1672" t="s">
        <v>1012</v>
      </c>
      <c r="E27" s="1688">
        <v>0.68</v>
      </c>
      <c r="F27" s="1670"/>
      <c r="G27" s="1670"/>
      <c r="H27" s="1670"/>
      <c r="I27" s="1670"/>
      <c r="J27" s="1670"/>
      <c r="K27" s="1670"/>
      <c r="L27" s="1670"/>
      <c r="M27" s="1670"/>
      <c r="N27" s="1670"/>
      <c r="O27" s="1670"/>
      <c r="P27" s="1670"/>
      <c r="Q27" s="1670"/>
      <c r="R27" s="1670"/>
    </row>
    <row r="28" spans="1:23" ht="12" customHeight="1">
      <c r="A28" s="1666"/>
      <c r="B28" s="1672" t="s">
        <v>4160</v>
      </c>
      <c r="C28" s="1682" t="s">
        <v>4161</v>
      </c>
      <c r="D28" s="1672" t="s">
        <v>1012</v>
      </c>
      <c r="E28" s="1688">
        <v>0.68</v>
      </c>
      <c r="F28" s="1670"/>
      <c r="G28" s="1670"/>
      <c r="H28" s="1670"/>
      <c r="I28" s="1670"/>
      <c r="J28" s="1670"/>
      <c r="K28" s="1670"/>
      <c r="L28" s="1670"/>
      <c r="M28" s="1670"/>
      <c r="N28" s="1670"/>
      <c r="O28" s="1670"/>
      <c r="P28" s="1670"/>
      <c r="Q28" s="1670"/>
      <c r="R28" s="1670"/>
    </row>
    <row r="29" spans="1:23" s="1681" customFormat="1" ht="12" customHeight="1">
      <c r="A29" s="1676"/>
      <c r="B29" s="1677" t="s">
        <v>4162</v>
      </c>
      <c r="C29" s="1684" t="s">
        <v>4163</v>
      </c>
      <c r="D29" s="1677" t="s">
        <v>1012</v>
      </c>
      <c r="E29" s="1717">
        <v>0.94</v>
      </c>
      <c r="F29" s="1680"/>
      <c r="G29" s="1680"/>
      <c r="H29" s="1680"/>
      <c r="I29" s="1680"/>
      <c r="J29" s="1680"/>
      <c r="K29" s="1680"/>
      <c r="L29" s="1680"/>
      <c r="M29" s="1680"/>
      <c r="N29" s="1680"/>
      <c r="O29" s="1680"/>
      <c r="P29" s="1680"/>
      <c r="Q29" s="1680"/>
      <c r="R29" s="1680"/>
    </row>
    <row r="30" spans="1:23" ht="12" customHeight="1">
      <c r="A30" s="1687" t="s">
        <v>4164</v>
      </c>
      <c r="B30" s="1672" t="s">
        <v>4165</v>
      </c>
      <c r="C30" s="1682" t="s">
        <v>4166</v>
      </c>
      <c r="D30" s="1672" t="s">
        <v>4103</v>
      </c>
      <c r="E30" s="1689">
        <f>SQRT(E5)</f>
        <v>9.6112456565390172</v>
      </c>
      <c r="F30" s="1682" t="s">
        <v>4167</v>
      </c>
      <c r="G30" s="1672" t="s">
        <v>4168</v>
      </c>
      <c r="H30" s="1688">
        <v>0.2</v>
      </c>
      <c r="I30" s="1670"/>
      <c r="J30" s="1670"/>
      <c r="K30" s="1670"/>
      <c r="O30" s="1695"/>
    </row>
    <row r="31" spans="1:23" ht="12" customHeight="1">
      <c r="A31" s="1666"/>
      <c r="B31" s="1672" t="s">
        <v>4169</v>
      </c>
      <c r="C31" s="1682" t="s">
        <v>4170</v>
      </c>
      <c r="D31" s="1672" t="s">
        <v>4103</v>
      </c>
      <c r="E31" s="1689">
        <f>SQRT(SUM(E12:E14))</f>
        <v>8.9442719099991592</v>
      </c>
      <c r="F31" s="1682" t="s">
        <v>4171</v>
      </c>
      <c r="G31" s="1672" t="s">
        <v>4168</v>
      </c>
      <c r="H31" s="1688">
        <v>0.2</v>
      </c>
      <c r="I31" s="1670"/>
      <c r="J31" s="1670"/>
      <c r="K31" s="1670"/>
      <c r="O31" s="1672"/>
    </row>
    <row r="32" spans="1:23" ht="12" customHeight="1">
      <c r="A32" s="1666"/>
      <c r="B32" s="1672" t="s">
        <v>4172</v>
      </c>
      <c r="C32" s="1682" t="s">
        <v>4173</v>
      </c>
      <c r="D32" s="1672" t="s">
        <v>4103</v>
      </c>
      <c r="F32" s="1682" t="s">
        <v>4174</v>
      </c>
      <c r="G32" s="1672" t="s">
        <v>4168</v>
      </c>
      <c r="H32" s="1688">
        <v>0.3</v>
      </c>
      <c r="I32" s="1670"/>
      <c r="J32" s="1670"/>
      <c r="K32" s="1670"/>
      <c r="O32" s="1672"/>
    </row>
    <row r="33" spans="1:30" ht="12" customHeight="1">
      <c r="A33" s="1666"/>
      <c r="B33" s="1672" t="s">
        <v>4175</v>
      </c>
      <c r="C33" s="1682" t="s">
        <v>4176</v>
      </c>
      <c r="D33" s="1672" t="s">
        <v>4103</v>
      </c>
      <c r="E33" s="1689">
        <f>SUM(E19:E22)/1.2</f>
        <v>32</v>
      </c>
      <c r="F33" s="1682" t="s">
        <v>4177</v>
      </c>
      <c r="G33" s="1672" t="s">
        <v>4168</v>
      </c>
      <c r="H33" s="1688">
        <v>0.15</v>
      </c>
      <c r="I33" s="1670"/>
      <c r="J33" s="1670"/>
      <c r="K33" s="1670"/>
      <c r="O33" s="1672"/>
    </row>
    <row r="34" spans="1:30" ht="12" customHeight="1">
      <c r="A34" s="1666"/>
      <c r="B34" s="1672" t="s">
        <v>4178</v>
      </c>
      <c r="C34" s="1682" t="s">
        <v>4179</v>
      </c>
      <c r="D34" s="1672" t="s">
        <v>4103</v>
      </c>
      <c r="F34" s="1682" t="s">
        <v>4180</v>
      </c>
      <c r="G34" s="1672" t="s">
        <v>4168</v>
      </c>
      <c r="H34" s="1688">
        <v>0.2</v>
      </c>
      <c r="I34" s="1670"/>
      <c r="J34" s="1670"/>
      <c r="K34" s="1670"/>
      <c r="O34" s="1672"/>
    </row>
    <row r="35" spans="1:30" s="1722" customFormat="1" ht="12" customHeight="1">
      <c r="A35" s="1676"/>
      <c r="B35" s="1718" t="s">
        <v>4181</v>
      </c>
      <c r="C35" s="1719" t="s">
        <v>4182</v>
      </c>
      <c r="D35" s="1718" t="s">
        <v>1012</v>
      </c>
      <c r="E35" s="1720"/>
      <c r="F35" s="1721" t="s">
        <v>4183</v>
      </c>
      <c r="G35" s="1677" t="s">
        <v>4184</v>
      </c>
      <c r="H35" s="1717">
        <v>0.3</v>
      </c>
      <c r="I35" s="1680"/>
      <c r="J35" s="1680"/>
      <c r="K35" s="1680"/>
      <c r="L35" s="1680"/>
      <c r="M35" s="1680"/>
      <c r="N35" s="1680"/>
      <c r="O35" s="1680"/>
      <c r="P35" s="1680"/>
    </row>
    <row r="36" spans="1:30" ht="12" customHeight="1">
      <c r="A36" s="1666" t="s">
        <v>4185</v>
      </c>
      <c r="B36" s="1672" t="s">
        <v>4186</v>
      </c>
      <c r="C36" s="1682" t="s">
        <v>4187</v>
      </c>
      <c r="D36" s="1672" t="s">
        <v>4128</v>
      </c>
      <c r="E36" s="1689">
        <v>20</v>
      </c>
      <c r="F36" s="1670"/>
      <c r="G36" s="1670"/>
      <c r="H36" s="1670"/>
      <c r="I36" s="1670"/>
      <c r="J36" s="1670"/>
      <c r="K36" s="1670"/>
      <c r="L36" s="1670"/>
      <c r="M36" s="1670"/>
      <c r="N36" s="1670"/>
      <c r="O36" s="1670"/>
      <c r="P36" s="1670"/>
      <c r="Q36" s="1670"/>
      <c r="R36" s="1670"/>
    </row>
    <row r="37" spans="1:30" ht="12" customHeight="1">
      <c r="A37" s="1666"/>
      <c r="B37" s="1672" t="s">
        <v>4188</v>
      </c>
      <c r="C37" s="1682" t="s">
        <v>4189</v>
      </c>
      <c r="D37" s="1672" t="s">
        <v>4139</v>
      </c>
      <c r="E37" s="1689">
        <v>0</v>
      </c>
      <c r="F37" s="1670"/>
      <c r="G37" s="1670"/>
      <c r="H37" s="1670"/>
      <c r="I37" s="1670"/>
      <c r="J37" s="1670"/>
      <c r="K37" s="1670"/>
      <c r="L37" s="1670"/>
      <c r="M37" s="1670"/>
      <c r="N37" s="1670"/>
      <c r="O37" s="1670"/>
      <c r="P37" s="1670"/>
      <c r="Q37" s="1670"/>
      <c r="R37" s="1670"/>
    </row>
    <row r="38" spans="1:30" ht="12" customHeight="1">
      <c r="A38" s="1666"/>
      <c r="B38" s="1672" t="s">
        <v>4190</v>
      </c>
      <c r="C38" s="1682" t="s">
        <v>4191</v>
      </c>
      <c r="D38" s="1672" t="s">
        <v>4192</v>
      </c>
      <c r="E38" s="1689">
        <v>40</v>
      </c>
      <c r="F38" s="1670"/>
      <c r="G38" s="1670"/>
      <c r="H38" s="1670"/>
      <c r="I38" s="1670"/>
      <c r="J38" s="1670"/>
      <c r="K38" s="1670"/>
      <c r="L38" s="1670"/>
      <c r="M38" s="1670"/>
      <c r="N38" s="1670"/>
      <c r="O38" s="1670"/>
      <c r="P38" s="1670"/>
      <c r="Q38" s="1670"/>
      <c r="R38" s="1670"/>
    </row>
    <row r="39" spans="1:30" ht="12" customHeight="1">
      <c r="A39" s="1666"/>
      <c r="B39" s="1672" t="s">
        <v>4193</v>
      </c>
      <c r="C39" s="1682" t="s">
        <v>4194</v>
      </c>
      <c r="D39" s="1672" t="s">
        <v>4195</v>
      </c>
      <c r="E39" s="1689">
        <v>70</v>
      </c>
      <c r="F39" s="1670"/>
      <c r="G39" s="1670"/>
      <c r="H39" s="1670"/>
      <c r="I39" s="1670"/>
      <c r="J39" s="1670"/>
      <c r="K39" s="1670"/>
      <c r="L39" s="1670"/>
      <c r="M39" s="1670"/>
      <c r="N39" s="1670"/>
      <c r="O39" s="1670"/>
      <c r="P39" s="1670"/>
      <c r="Q39" s="1670"/>
      <c r="R39" s="1670"/>
    </row>
    <row r="40" spans="1:30" ht="12" customHeight="1">
      <c r="A40" s="1666"/>
      <c r="B40" s="1672" t="s">
        <v>4196</v>
      </c>
      <c r="C40" s="1682" t="s">
        <v>4197</v>
      </c>
      <c r="D40" s="1672" t="s">
        <v>4198</v>
      </c>
      <c r="E40" s="1689">
        <v>12</v>
      </c>
      <c r="F40" s="1670"/>
      <c r="G40" s="1670"/>
      <c r="H40" s="1670"/>
      <c r="I40" s="1670"/>
      <c r="J40" s="1670"/>
      <c r="K40" s="1670"/>
      <c r="L40" s="1670"/>
      <c r="M40" s="1670"/>
      <c r="N40" s="1670"/>
      <c r="O40" s="1670"/>
      <c r="P40" s="1670"/>
      <c r="Q40" s="1670"/>
      <c r="R40" s="1670"/>
    </row>
    <row r="41" spans="1:30" ht="12" customHeight="1">
      <c r="A41" s="1666"/>
      <c r="B41" s="1672" t="s">
        <v>4199</v>
      </c>
      <c r="C41" s="1682" t="s">
        <v>4200</v>
      </c>
      <c r="D41" s="1672" t="s">
        <v>4201</v>
      </c>
      <c r="E41" s="1689">
        <v>28</v>
      </c>
      <c r="F41" s="1670"/>
      <c r="G41" s="1670"/>
      <c r="H41" s="1670"/>
      <c r="I41" s="1670"/>
      <c r="J41" s="1670"/>
      <c r="K41" s="1670"/>
      <c r="L41" s="1670"/>
      <c r="M41" s="1670"/>
      <c r="N41" s="1670"/>
      <c r="O41" s="1670"/>
      <c r="P41" s="1670"/>
      <c r="Q41" s="1670"/>
      <c r="R41" s="1670"/>
    </row>
    <row r="42" spans="1:30" ht="12" customHeight="1">
      <c r="A42" s="1666"/>
      <c r="B42" s="1672" t="s">
        <v>4202</v>
      </c>
      <c r="C42" s="1682" t="s">
        <v>4203</v>
      </c>
      <c r="D42" s="1672" t="s">
        <v>1012</v>
      </c>
      <c r="E42" s="1689">
        <v>0.7</v>
      </c>
      <c r="F42" s="1670"/>
      <c r="G42" s="1670"/>
      <c r="H42" s="1670"/>
      <c r="I42" s="1670"/>
      <c r="J42" s="1670"/>
      <c r="K42" s="1670"/>
      <c r="L42" s="1670"/>
      <c r="M42" s="1670"/>
      <c r="N42" s="1670"/>
      <c r="O42" s="1670"/>
      <c r="P42" s="1670"/>
      <c r="Q42" s="1670"/>
      <c r="R42" s="1670"/>
    </row>
    <row r="43" spans="1:30" ht="12" customHeight="1">
      <c r="A43" s="1666"/>
      <c r="B43" s="1672" t="s">
        <v>4204</v>
      </c>
      <c r="C43" s="1673" t="s">
        <v>4205</v>
      </c>
      <c r="D43" s="1672" t="s">
        <v>4206</v>
      </c>
      <c r="E43" s="1689">
        <v>0.7</v>
      </c>
      <c r="F43" s="1670"/>
      <c r="G43" s="1670"/>
      <c r="H43" s="1670"/>
      <c r="I43" s="1670"/>
      <c r="J43" s="1670"/>
      <c r="K43" s="1670"/>
      <c r="L43" s="1670"/>
      <c r="M43" s="1670"/>
      <c r="N43" s="1670"/>
      <c r="O43" s="1670"/>
      <c r="P43" s="1670"/>
      <c r="Q43" s="1670"/>
      <c r="R43" s="1670"/>
      <c r="U43" s="1672" t="s">
        <v>4207</v>
      </c>
      <c r="V43" s="1672"/>
      <c r="W43" s="1672"/>
      <c r="X43" s="1672"/>
      <c r="Y43" s="1672"/>
      <c r="Z43" s="1682" t="s">
        <v>4208</v>
      </c>
      <c r="AA43" s="1682"/>
      <c r="AB43" s="1672" t="s">
        <v>4206</v>
      </c>
      <c r="AC43" s="1672"/>
      <c r="AD43" s="1350"/>
    </row>
    <row r="44" spans="1:30" ht="12" customHeight="1">
      <c r="A44" s="1666"/>
    </row>
    <row r="45" spans="1:30" ht="12" customHeight="1">
      <c r="A45" s="1666" t="s">
        <v>4209</v>
      </c>
      <c r="B45" s="1682" t="s">
        <v>4210</v>
      </c>
      <c r="C45" s="1682" t="s">
        <v>4211</v>
      </c>
      <c r="E45" s="1723">
        <f>E36+E37</f>
        <v>20</v>
      </c>
      <c r="F45" s="1670"/>
      <c r="G45" s="1670"/>
      <c r="H45" s="1670"/>
      <c r="I45" s="1670"/>
      <c r="J45" s="1670"/>
      <c r="K45" s="1670"/>
      <c r="L45" s="1670"/>
      <c r="M45" s="1670"/>
      <c r="N45" s="1670"/>
      <c r="O45" s="1670"/>
      <c r="P45" s="1670"/>
      <c r="Q45" s="1670"/>
      <c r="R45" s="1724"/>
      <c r="S45" s="1689"/>
      <c r="T45" s="1682"/>
      <c r="U45" s="1682"/>
    </row>
    <row r="46" spans="1:30" s="1681" customFormat="1" ht="12" customHeight="1">
      <c r="A46" s="1676"/>
      <c r="E46" s="1725"/>
      <c r="F46" s="1725"/>
      <c r="G46" s="1725"/>
      <c r="H46" s="1725"/>
      <c r="I46" s="1725"/>
      <c r="J46" s="1725"/>
      <c r="K46" s="1725"/>
      <c r="L46" s="1725"/>
      <c r="M46" s="1725"/>
      <c r="N46" s="1725"/>
      <c r="O46" s="1725"/>
      <c r="P46" s="1725"/>
      <c r="Q46" s="1725"/>
      <c r="R46" s="1725"/>
    </row>
    <row r="47" spans="1:30" ht="12" customHeight="1">
      <c r="A47" s="1666" t="s">
        <v>4212</v>
      </c>
      <c r="B47" s="1672" t="s">
        <v>4213</v>
      </c>
      <c r="C47" s="1682" t="s">
        <v>4214</v>
      </c>
      <c r="D47" s="1672" t="s">
        <v>4215</v>
      </c>
      <c r="E47" s="1711">
        <v>0.15</v>
      </c>
      <c r="F47" s="1670"/>
      <c r="G47" s="1670"/>
      <c r="H47" s="1670"/>
      <c r="I47" s="1670"/>
      <c r="J47" s="1670"/>
      <c r="K47" s="1670"/>
      <c r="L47" s="1670"/>
      <c r="M47" s="1670"/>
      <c r="N47" s="1670"/>
      <c r="O47" s="1670"/>
      <c r="P47" s="1670"/>
      <c r="Q47" s="1670"/>
      <c r="R47" s="1670"/>
    </row>
    <row r="48" spans="1:30" ht="12" customHeight="1">
      <c r="A48" s="1726"/>
      <c r="B48" s="1683" t="s">
        <v>4216</v>
      </c>
      <c r="C48" s="1682" t="s">
        <v>4217</v>
      </c>
      <c r="D48" s="1672" t="s">
        <v>1012</v>
      </c>
      <c r="E48" s="1688">
        <v>1</v>
      </c>
      <c r="F48" s="1670"/>
      <c r="G48" s="1670"/>
      <c r="H48" s="1670"/>
      <c r="I48" s="1670"/>
      <c r="J48" s="1670"/>
      <c r="K48" s="1670"/>
      <c r="L48" s="1670"/>
      <c r="M48" s="1670"/>
      <c r="N48" s="1670"/>
      <c r="O48" s="1670"/>
      <c r="P48" s="1670"/>
      <c r="Q48" s="1670"/>
      <c r="R48" s="1670"/>
    </row>
    <row r="49" spans="1:22" ht="12" customHeight="1">
      <c r="A49" s="1350"/>
      <c r="B49" s="1672" t="s">
        <v>4218</v>
      </c>
      <c r="C49" s="1682" t="s">
        <v>4219</v>
      </c>
      <c r="D49" s="1672" t="s">
        <v>4220</v>
      </c>
      <c r="E49" s="1688">
        <v>15</v>
      </c>
      <c r="F49" s="1670"/>
      <c r="G49" s="1670"/>
      <c r="H49" s="1670"/>
      <c r="I49" s="1670"/>
      <c r="J49" s="1670"/>
      <c r="K49" s="1670"/>
      <c r="L49" s="1670"/>
      <c r="M49" s="1670"/>
      <c r="N49" s="1670"/>
      <c r="O49" s="1670"/>
      <c r="P49" s="1670"/>
      <c r="Q49" s="1670"/>
      <c r="R49" s="1670"/>
    </row>
    <row r="50" spans="1:22" ht="12" customHeight="1">
      <c r="A50" s="1726"/>
      <c r="B50" s="1672" t="s">
        <v>4221</v>
      </c>
      <c r="C50" s="1682" t="s">
        <v>4222</v>
      </c>
      <c r="D50" s="1672" t="s">
        <v>1012</v>
      </c>
      <c r="E50" s="1711">
        <v>0.7</v>
      </c>
      <c r="F50" s="1670"/>
      <c r="G50" s="1670"/>
      <c r="H50" s="1670"/>
      <c r="I50" s="1670"/>
      <c r="J50" s="1670"/>
      <c r="K50" s="1670"/>
      <c r="L50" s="1670"/>
      <c r="M50" s="1670"/>
      <c r="N50" s="1670"/>
      <c r="O50" s="1670"/>
      <c r="P50" s="1670"/>
      <c r="Q50" s="1670"/>
      <c r="R50" s="1670"/>
    </row>
    <row r="51" spans="1:22" s="1681" customFormat="1" ht="12" customHeight="1">
      <c r="A51" s="1727"/>
      <c r="B51" s="1677" t="s">
        <v>4223</v>
      </c>
      <c r="C51" s="1684" t="s">
        <v>4224</v>
      </c>
      <c r="D51" s="1677" t="s">
        <v>1012</v>
      </c>
      <c r="E51" s="1728">
        <v>1</v>
      </c>
      <c r="F51" s="1670"/>
      <c r="G51" s="1670"/>
      <c r="H51" s="1670"/>
      <c r="I51" s="1670"/>
      <c r="J51" s="1670"/>
      <c r="K51" s="1670"/>
      <c r="L51" s="1670"/>
      <c r="M51" s="1670"/>
      <c r="N51" s="1670"/>
      <c r="O51" s="1670"/>
      <c r="P51" s="1670"/>
      <c r="Q51" s="1670"/>
      <c r="R51" s="1670"/>
    </row>
    <row r="53" spans="1:22" ht="12" customHeight="1">
      <c r="A53" s="1683"/>
      <c r="B53" s="1682"/>
      <c r="C53" s="1682"/>
      <c r="E53" s="1723"/>
      <c r="F53" s="1670"/>
      <c r="G53" s="1670"/>
      <c r="H53" s="1670"/>
      <c r="I53" s="1670"/>
      <c r="J53" s="1670"/>
      <c r="K53" s="1670"/>
      <c r="L53" s="1670"/>
      <c r="M53" s="1670"/>
      <c r="N53" s="1670"/>
      <c r="O53" s="1670"/>
      <c r="P53" s="1670"/>
      <c r="Q53" s="1670"/>
      <c r="R53" s="1724"/>
      <c r="S53" s="1689"/>
      <c r="T53" s="1682"/>
      <c r="U53" s="1682"/>
    </row>
    <row r="54" spans="1:22" s="1681" customFormat="1" ht="12" customHeight="1">
      <c r="A54" s="1685"/>
      <c r="B54" s="1684"/>
      <c r="C54" s="1684"/>
      <c r="E54" s="1729"/>
      <c r="F54" s="1680"/>
      <c r="G54" s="1680"/>
      <c r="H54" s="1680"/>
      <c r="I54" s="1680"/>
      <c r="J54" s="1680"/>
      <c r="K54" s="1680"/>
      <c r="L54" s="1680"/>
      <c r="M54" s="1680"/>
      <c r="N54" s="1680"/>
      <c r="O54" s="1680"/>
      <c r="P54" s="1680"/>
      <c r="Q54" s="1680"/>
      <c r="R54" s="1730"/>
      <c r="S54" s="1725"/>
      <c r="T54" s="1684"/>
      <c r="U54" s="1684"/>
    </row>
    <row r="55" spans="1:22" ht="12" customHeight="1">
      <c r="A55" s="1666" t="s">
        <v>4225</v>
      </c>
      <c r="B55" s="1672" t="s">
        <v>4226</v>
      </c>
      <c r="C55" s="1682" t="s">
        <v>4227</v>
      </c>
      <c r="D55" s="1672" t="s">
        <v>4228</v>
      </c>
      <c r="F55" s="1689">
        <v>31</v>
      </c>
      <c r="G55" s="1689">
        <v>28</v>
      </c>
      <c r="H55" s="1689">
        <v>31</v>
      </c>
      <c r="I55" s="1689">
        <v>30</v>
      </c>
      <c r="J55" s="1689">
        <v>31</v>
      </c>
      <c r="K55" s="1689">
        <v>30</v>
      </c>
      <c r="L55" s="1689">
        <v>31</v>
      </c>
      <c r="M55" s="1689">
        <f>L55</f>
        <v>31</v>
      </c>
      <c r="N55" s="1689">
        <v>30</v>
      </c>
      <c r="O55" s="1689">
        <v>31</v>
      </c>
      <c r="P55" s="1689">
        <v>30</v>
      </c>
      <c r="Q55" s="1689">
        <v>31</v>
      </c>
      <c r="R55" s="1675"/>
    </row>
    <row r="56" spans="1:22" ht="12" customHeight="1">
      <c r="A56" s="1726"/>
      <c r="B56" s="1683" t="s">
        <v>4229</v>
      </c>
      <c r="C56" s="1682" t="s">
        <v>4230</v>
      </c>
      <c r="D56" s="1672" t="s">
        <v>4128</v>
      </c>
      <c r="F56" s="1675">
        <f>'Station climatique'!B2</f>
        <v>-0.1</v>
      </c>
      <c r="G56" s="1675">
        <f>'Station climatique'!C2</f>
        <v>1.3</v>
      </c>
      <c r="H56" s="1675">
        <f>'Station climatique'!D2</f>
        <v>5.3</v>
      </c>
      <c r="I56" s="1675">
        <f>'Station climatique'!E2</f>
        <v>8.1</v>
      </c>
      <c r="J56" s="1675">
        <f>'Station climatique'!F2</f>
        <v>13.2</v>
      </c>
      <c r="K56" s="1675">
        <f>'Station climatique'!G2</f>
        <v>16.100000000000001</v>
      </c>
      <c r="L56" s="1675">
        <f>'Station climatique'!H2</f>
        <v>18.399999999999999</v>
      </c>
      <c r="M56" s="1675">
        <f>'Station climatique'!I2</f>
        <v>18.399999999999999</v>
      </c>
      <c r="N56" s="1675">
        <f>'Station climatique'!J2</f>
        <v>13.9</v>
      </c>
      <c r="O56" s="1675">
        <f>'Station climatique'!K2</f>
        <v>9.6</v>
      </c>
      <c r="P56" s="1675">
        <f>'Station climatique'!L2</f>
        <v>3.9</v>
      </c>
      <c r="Q56" s="1675">
        <f>'Station climatique'!M2</f>
        <v>1.2</v>
      </c>
      <c r="R56" s="1675"/>
      <c r="V56" s="1675" t="s">
        <v>4231</v>
      </c>
    </row>
    <row r="57" spans="1:22" ht="12" customHeight="1">
      <c r="A57" s="1726"/>
      <c r="B57" s="1672" t="s">
        <v>4232</v>
      </c>
      <c r="C57" s="1682" t="s">
        <v>4233</v>
      </c>
      <c r="D57" s="1672" t="s">
        <v>4201</v>
      </c>
      <c r="F57" s="1675">
        <f>'Station climatique'!B3</f>
        <v>32.777777777777779</v>
      </c>
      <c r="G57" s="1675">
        <f>'Station climatique'!C3</f>
        <v>50.277777777777779</v>
      </c>
      <c r="H57" s="1675">
        <f>'Station climatique'!D3</f>
        <v>93.055555555555557</v>
      </c>
      <c r="I57" s="1675">
        <f>'Station climatique'!E3</f>
        <v>116.66666666666666</v>
      </c>
      <c r="J57" s="1675">
        <f>'Station climatique'!F3</f>
        <v>151.66666666666666</v>
      </c>
      <c r="K57" s="1675">
        <f>'Station climatique'!G3</f>
        <v>165</v>
      </c>
      <c r="L57" s="1675">
        <f>'Station climatique'!H3</f>
        <v>173.33333333333334</v>
      </c>
      <c r="M57" s="1675">
        <f>'Station climatique'!I3</f>
        <v>151.11111111111111</v>
      </c>
      <c r="N57" s="1675">
        <f>'Station climatique'!J3</f>
        <v>103.61111111111111</v>
      </c>
      <c r="O57" s="1675">
        <f>'Station climatique'!K3</f>
        <v>63.888888888888886</v>
      </c>
      <c r="P57" s="1675">
        <f>'Station climatique'!L3</f>
        <v>33.888888888888886</v>
      </c>
      <c r="Q57" s="1675">
        <f>'Station climatique'!M3</f>
        <v>25.277777777777779</v>
      </c>
      <c r="R57" s="1675"/>
    </row>
    <row r="58" spans="1:22" ht="12" customHeight="1">
      <c r="A58" s="1726"/>
      <c r="B58" s="1672" t="s">
        <v>4234</v>
      </c>
      <c r="C58" s="1682" t="s">
        <v>4235</v>
      </c>
      <c r="D58" s="1672" t="s">
        <v>4201</v>
      </c>
      <c r="F58" s="1675">
        <f>'Station climatique'!B4</f>
        <v>20.833333333333332</v>
      </c>
      <c r="G58" s="1675">
        <f>'Station climatique'!C4</f>
        <v>32.222222222222221</v>
      </c>
      <c r="H58" s="1675">
        <f>'Station climatique'!D4</f>
        <v>56.666666666666664</v>
      </c>
      <c r="I58" s="1675">
        <f>'Station climatique'!E4</f>
        <v>67.777777777777771</v>
      </c>
      <c r="J58" s="1675">
        <f>'Station climatique'!F4</f>
        <v>84.722222222222214</v>
      </c>
      <c r="K58" s="1675">
        <f>'Station climatique'!G4</f>
        <v>91.388888888888886</v>
      </c>
      <c r="L58" s="1675">
        <f>'Station climatique'!H4</f>
        <v>96.666666666666657</v>
      </c>
      <c r="M58" s="1675">
        <f>'Station climatique'!I4</f>
        <v>87.777777777777771</v>
      </c>
      <c r="N58" s="1675">
        <f>'Station climatique'!J4</f>
        <v>59.166666666666664</v>
      </c>
      <c r="O58" s="1675">
        <f>'Station climatique'!K4</f>
        <v>35</v>
      </c>
      <c r="P58" s="1675">
        <f>'Station climatique'!L4</f>
        <v>18.611111111111111</v>
      </c>
      <c r="Q58" s="1675">
        <f>'Station climatique'!M4</f>
        <v>15</v>
      </c>
      <c r="R58" s="1675"/>
    </row>
    <row r="59" spans="1:22" ht="12" customHeight="1">
      <c r="A59" s="1726"/>
      <c r="B59" s="1672" t="s">
        <v>4236</v>
      </c>
      <c r="C59" s="1682" t="s">
        <v>4237</v>
      </c>
      <c r="D59" s="1672" t="s">
        <v>4201</v>
      </c>
      <c r="F59" s="1675">
        <f>'Station climatique'!B5</f>
        <v>55.833333333333329</v>
      </c>
      <c r="G59" s="1675">
        <f>'Station climatique'!C5</f>
        <v>70</v>
      </c>
      <c r="H59" s="1675">
        <f>'Station climatique'!D5</f>
        <v>93.611111111111114</v>
      </c>
      <c r="I59" s="1675">
        <f>'Station climatique'!E5</f>
        <v>79.166666666666671</v>
      </c>
      <c r="J59" s="1675">
        <f>'Station climatique'!F5</f>
        <v>78.888888888888886</v>
      </c>
      <c r="K59" s="1675">
        <f>'Station climatique'!G5</f>
        <v>75</v>
      </c>
      <c r="L59" s="1675">
        <f>'Station climatique'!H5</f>
        <v>84.722222222222214</v>
      </c>
      <c r="M59" s="1675">
        <f>'Station climatique'!I5</f>
        <v>95.277777777777771</v>
      </c>
      <c r="N59" s="1675">
        <f>'Station climatique'!J5</f>
        <v>90</v>
      </c>
      <c r="O59" s="1675">
        <f>'Station climatique'!K5</f>
        <v>75.277777777777771</v>
      </c>
      <c r="P59" s="1675">
        <f>'Station climatique'!L5</f>
        <v>49.722222222222221</v>
      </c>
      <c r="Q59" s="1675">
        <f>'Station climatique'!M5</f>
        <v>42.5</v>
      </c>
      <c r="R59" s="1675"/>
    </row>
    <row r="60" spans="1:22" ht="12" customHeight="1">
      <c r="A60" s="1726"/>
      <c r="B60" s="1672" t="s">
        <v>4238</v>
      </c>
      <c r="C60" s="1682" t="s">
        <v>4239</v>
      </c>
      <c r="D60" s="1672" t="s">
        <v>4201</v>
      </c>
      <c r="F60" s="1675">
        <f>'Station climatique'!B6</f>
        <v>24.444444444444443</v>
      </c>
      <c r="G60" s="1675">
        <f>'Station climatique'!C6</f>
        <v>35</v>
      </c>
      <c r="H60" s="1675">
        <f>'Station climatique'!D6</f>
        <v>56.666666666666664</v>
      </c>
      <c r="I60" s="1675">
        <f>'Station climatique'!E6</f>
        <v>63.333333333333329</v>
      </c>
      <c r="J60" s="1675">
        <f>'Station climatique'!F6</f>
        <v>78.055555555555557</v>
      </c>
      <c r="K60" s="1675">
        <f>'Station climatique'!G6</f>
        <v>85</v>
      </c>
      <c r="L60" s="1675">
        <f>'Station climatique'!H6</f>
        <v>92.222222222222214</v>
      </c>
      <c r="M60" s="1675">
        <f>'Station climatique'!I6</f>
        <v>82.5</v>
      </c>
      <c r="N60" s="1675">
        <f>'Station climatique'!J6</f>
        <v>61.111111111111107</v>
      </c>
      <c r="O60" s="1675">
        <f>'Station climatique'!K6</f>
        <v>40.277777777777779</v>
      </c>
      <c r="P60" s="1675">
        <f>'Station climatique'!L6</f>
        <v>22.222222222222221</v>
      </c>
      <c r="Q60" s="1675">
        <f>'Station climatique'!M6</f>
        <v>17.777777777777779</v>
      </c>
      <c r="R60" s="1675"/>
    </row>
    <row r="61" spans="1:22" s="1681" customFormat="1" ht="12" customHeight="1">
      <c r="A61" s="1731"/>
      <c r="B61" s="1677" t="s">
        <v>4240</v>
      </c>
      <c r="C61" s="1684" t="s">
        <v>4241</v>
      </c>
      <c r="D61" s="1677" t="s">
        <v>4201</v>
      </c>
      <c r="E61" s="1725"/>
      <c r="F61" s="1681">
        <f>'Station climatique'!B7</f>
        <v>13.333333333333332</v>
      </c>
      <c r="G61" s="1681">
        <f>'Station climatique'!C7</f>
        <v>18.055555555555554</v>
      </c>
      <c r="H61" s="1681">
        <f>'Station climatique'!D7</f>
        <v>27.5</v>
      </c>
      <c r="I61" s="1681">
        <f>'Station climatique'!E7</f>
        <v>33.055555555555557</v>
      </c>
      <c r="J61" s="1681">
        <f>'Station climatique'!F7</f>
        <v>44.722222222222221</v>
      </c>
      <c r="K61" s="1681">
        <f>'Station climatique'!G7</f>
        <v>50.277777777777779</v>
      </c>
      <c r="L61" s="1681">
        <f>'Station climatique'!H7</f>
        <v>50.555555555555557</v>
      </c>
      <c r="M61" s="1681">
        <f>'Station climatique'!I7</f>
        <v>40.277777777777779</v>
      </c>
      <c r="N61" s="1681">
        <f>'Station climatique'!J7</f>
        <v>27.222222222222221</v>
      </c>
      <c r="O61" s="1681">
        <f>'Station climatique'!K7</f>
        <v>18.611111111111111</v>
      </c>
      <c r="P61" s="1681">
        <f>'Station climatique'!L7</f>
        <v>11.388888888888889</v>
      </c>
      <c r="Q61" s="1681">
        <f>'Station climatique'!M7</f>
        <v>9.7222222222222214</v>
      </c>
    </row>
    <row r="62" spans="1:22" s="1681" customFormat="1" ht="12" customHeight="1">
      <c r="A62" s="1685"/>
      <c r="B62" s="1684"/>
      <c r="C62" s="1684"/>
      <c r="E62" s="1729"/>
      <c r="F62" s="1680"/>
      <c r="G62" s="1680"/>
      <c r="H62" s="1680"/>
      <c r="I62" s="1680"/>
      <c r="J62" s="1680"/>
      <c r="K62" s="1680"/>
      <c r="L62" s="1680"/>
      <c r="M62" s="1680"/>
      <c r="N62" s="1680"/>
      <c r="O62" s="1680"/>
      <c r="P62" s="1680"/>
      <c r="Q62" s="1730"/>
      <c r="R62" s="1725"/>
      <c r="S62" s="1684"/>
      <c r="T62" s="1684"/>
    </row>
    <row r="63" spans="1:22" ht="12" customHeight="1">
      <c r="A63" s="1732" t="s">
        <v>4242</v>
      </c>
      <c r="B63" s="1672" t="s">
        <v>4243</v>
      </c>
      <c r="C63" s="1733" t="s">
        <v>4244</v>
      </c>
      <c r="D63" s="1672" t="s">
        <v>4201</v>
      </c>
      <c r="F63" s="1734">
        <f t="shared" ref="F63:Q63" si="0">($E45  -  F56 )* F55*  $E5* $H5 * 24 / ( $E3 *1000)</f>
        <v>1.4677675671467878</v>
      </c>
      <c r="G63" s="1734">
        <f t="shared" si="0"/>
        <v>1.2333864518665671</v>
      </c>
      <c r="H63" s="1734">
        <f t="shared" si="0"/>
        <v>1.0734419520924268</v>
      </c>
      <c r="I63" s="1734">
        <f t="shared" si="0"/>
        <v>0.84094530809084134</v>
      </c>
      <c r="J63" s="1734">
        <f t="shared" si="0"/>
        <v>0.49655818192030637</v>
      </c>
      <c r="K63" s="1734">
        <f t="shared" si="0"/>
        <v>0.27560392450035964</v>
      </c>
      <c r="L63" s="1734">
        <f t="shared" si="0"/>
        <v>0.11683721927536631</v>
      </c>
      <c r="M63" s="1734">
        <f t="shared" si="0"/>
        <v>0.11683721927536631</v>
      </c>
      <c r="N63" s="1734">
        <f t="shared" si="0"/>
        <v>0.43107280498774214</v>
      </c>
      <c r="O63" s="1734">
        <f t="shared" si="0"/>
        <v>0.75944192528988019</v>
      </c>
      <c r="P63" s="1734">
        <f t="shared" si="0"/>
        <v>1.1377495344758441</v>
      </c>
      <c r="Q63" s="1734">
        <f t="shared" si="0"/>
        <v>1.3728373264855529</v>
      </c>
      <c r="R63" s="1735"/>
      <c r="S63" s="1672"/>
      <c r="T63" s="1726"/>
      <c r="U63" s="1736"/>
    </row>
    <row r="64" spans="1:22" ht="12" customHeight="1">
      <c r="A64" s="1350"/>
      <c r="B64" s="1672" t="s">
        <v>4245</v>
      </c>
      <c r="C64" s="1733" t="s">
        <v>4246</v>
      </c>
      <c r="D64" s="1672" t="s">
        <v>4201</v>
      </c>
      <c r="F64" s="1734">
        <f t="shared" ref="F64:Q64" si="1">($E45  -  F56 ) * F55 *  $E6 *  $H6 *  $K6 * 24 / ( $E3 * 1000)</f>
        <v>0</v>
      </c>
      <c r="G64" s="1734">
        <f t="shared" si="1"/>
        <v>0</v>
      </c>
      <c r="H64" s="1734">
        <f t="shared" si="1"/>
        <v>0</v>
      </c>
      <c r="I64" s="1734">
        <f t="shared" si="1"/>
        <v>0</v>
      </c>
      <c r="J64" s="1734">
        <f t="shared" si="1"/>
        <v>0</v>
      </c>
      <c r="K64" s="1734">
        <f t="shared" si="1"/>
        <v>0</v>
      </c>
      <c r="L64" s="1734">
        <f t="shared" si="1"/>
        <v>0</v>
      </c>
      <c r="M64" s="1734">
        <f t="shared" si="1"/>
        <v>0</v>
      </c>
      <c r="N64" s="1734">
        <f t="shared" si="1"/>
        <v>0</v>
      </c>
      <c r="O64" s="1734">
        <f t="shared" si="1"/>
        <v>0</v>
      </c>
      <c r="P64" s="1734">
        <f t="shared" si="1"/>
        <v>0</v>
      </c>
      <c r="Q64" s="1734">
        <f t="shared" si="1"/>
        <v>0</v>
      </c>
      <c r="R64" s="1735"/>
      <c r="S64" s="1672"/>
      <c r="T64" s="1350"/>
      <c r="U64" s="1736"/>
      <c r="V64" s="1672"/>
    </row>
    <row r="65" spans="1:22" ht="12" customHeight="1">
      <c r="A65" s="1726"/>
      <c r="B65" s="1672" t="s">
        <v>4247</v>
      </c>
      <c r="C65" s="1733" t="s">
        <v>4248</v>
      </c>
      <c r="D65" s="1672" t="s">
        <v>4201</v>
      </c>
      <c r="F65" s="1734">
        <f t="shared" ref="F65:Q65" si="2">( $E45  -  F56 )*  F55 *  $E7 *  $H7 * 24 / ( $E3*  1000)</f>
        <v>3.4574572800000003</v>
      </c>
      <c r="G65" s="1734">
        <f t="shared" si="2"/>
        <v>2.9053516800000003</v>
      </c>
      <c r="H65" s="1734">
        <f t="shared" si="2"/>
        <v>2.52858816</v>
      </c>
      <c r="I65" s="1734">
        <f t="shared" si="2"/>
        <v>1.9809216000000001</v>
      </c>
      <c r="J65" s="1734">
        <f t="shared" si="2"/>
        <v>1.1696870400000001</v>
      </c>
      <c r="K65" s="1734">
        <f t="shared" si="2"/>
        <v>0.64920959999999972</v>
      </c>
      <c r="L65" s="1734">
        <f t="shared" si="2"/>
        <v>0.27522048000000027</v>
      </c>
      <c r="M65" s="1734">
        <f t="shared" si="2"/>
        <v>0.27522048000000027</v>
      </c>
      <c r="N65" s="1734">
        <f t="shared" si="2"/>
        <v>1.0154304000000001</v>
      </c>
      <c r="O65" s="1734">
        <f t="shared" si="2"/>
        <v>1.78893312</v>
      </c>
      <c r="P65" s="1734">
        <f t="shared" si="2"/>
        <v>2.6800704000000004</v>
      </c>
      <c r="Q65" s="1734">
        <f t="shared" si="2"/>
        <v>3.2338406400000008</v>
      </c>
      <c r="R65" s="1735"/>
      <c r="S65" s="1672"/>
      <c r="T65" s="1726"/>
      <c r="U65" s="1736"/>
      <c r="V65" s="1672"/>
    </row>
    <row r="66" spans="1:22" ht="12" customHeight="1">
      <c r="A66" s="1726"/>
      <c r="B66" s="1672" t="s">
        <v>4249</v>
      </c>
      <c r="C66" s="1733" t="s">
        <v>4250</v>
      </c>
      <c r="D66" s="1672" t="s">
        <v>4201</v>
      </c>
      <c r="F66" s="1734">
        <f t="shared" ref="F66:Q66" si="3">( $E45  -  F56 ) * F55 *  $E8 *  $H8 *  $K8 * 24 / ( $E3 * 1000)</f>
        <v>0</v>
      </c>
      <c r="G66" s="1734">
        <f t="shared" si="3"/>
        <v>0</v>
      </c>
      <c r="H66" s="1734">
        <f t="shared" si="3"/>
        <v>0</v>
      </c>
      <c r="I66" s="1734">
        <f t="shared" si="3"/>
        <v>0</v>
      </c>
      <c r="J66" s="1734">
        <f t="shared" si="3"/>
        <v>0</v>
      </c>
      <c r="K66" s="1734">
        <f t="shared" si="3"/>
        <v>0</v>
      </c>
      <c r="L66" s="1734">
        <f t="shared" si="3"/>
        <v>0</v>
      </c>
      <c r="M66" s="1734">
        <f t="shared" si="3"/>
        <v>0</v>
      </c>
      <c r="N66" s="1734">
        <f t="shared" si="3"/>
        <v>0</v>
      </c>
      <c r="O66" s="1734">
        <f t="shared" si="3"/>
        <v>0</v>
      </c>
      <c r="P66" s="1734">
        <f t="shared" si="3"/>
        <v>0</v>
      </c>
      <c r="Q66" s="1734">
        <f t="shared" si="3"/>
        <v>0</v>
      </c>
      <c r="R66" s="1735"/>
      <c r="S66" s="1672"/>
      <c r="T66" s="1726"/>
      <c r="U66" s="1736"/>
      <c r="V66" s="1672"/>
    </row>
    <row r="67" spans="1:22" ht="12" customHeight="1">
      <c r="A67" s="1726"/>
      <c r="B67" s="1672" t="s">
        <v>4251</v>
      </c>
      <c r="C67" s="1733" t="s">
        <v>4252</v>
      </c>
      <c r="D67" s="1672" t="s">
        <v>4201</v>
      </c>
      <c r="F67" s="1734">
        <f t="shared" ref="F67:Q67" si="4">( $E45  -  F56 ) * F55 *  $E9 *  $H9 *  $K9 * 24 / ( $E3 * 1000)</f>
        <v>0</v>
      </c>
      <c r="G67" s="1734">
        <f t="shared" si="4"/>
        <v>0</v>
      </c>
      <c r="H67" s="1734">
        <f t="shared" si="4"/>
        <v>0</v>
      </c>
      <c r="I67" s="1734">
        <f t="shared" si="4"/>
        <v>0</v>
      </c>
      <c r="J67" s="1734">
        <f t="shared" si="4"/>
        <v>0</v>
      </c>
      <c r="K67" s="1734">
        <f t="shared" si="4"/>
        <v>0</v>
      </c>
      <c r="L67" s="1734">
        <f t="shared" si="4"/>
        <v>0</v>
      </c>
      <c r="M67" s="1734">
        <f t="shared" si="4"/>
        <v>0</v>
      </c>
      <c r="N67" s="1734">
        <f t="shared" si="4"/>
        <v>0</v>
      </c>
      <c r="O67" s="1734">
        <f t="shared" si="4"/>
        <v>0</v>
      </c>
      <c r="P67" s="1734">
        <f t="shared" si="4"/>
        <v>0</v>
      </c>
      <c r="Q67" s="1734">
        <f t="shared" si="4"/>
        <v>0</v>
      </c>
      <c r="R67" s="1735"/>
      <c r="S67" s="1672"/>
      <c r="T67" s="1726"/>
      <c r="U67" s="1736"/>
      <c r="V67" s="1672"/>
    </row>
    <row r="68" spans="1:22" ht="12" customHeight="1">
      <c r="A68" s="1726"/>
      <c r="B68" s="1672" t="s">
        <v>4253</v>
      </c>
      <c r="C68" s="1733" t="s">
        <v>4254</v>
      </c>
      <c r="D68" s="1672" t="s">
        <v>4201</v>
      </c>
      <c r="F68" s="1734">
        <f t="shared" ref="F68:Q68" si="5">( $E45  -  $N10 ) * F55 *  $E10 *  $H10 * 24 / ( $E3 * 1000)</f>
        <v>0</v>
      </c>
      <c r="G68" s="1734">
        <f t="shared" si="5"/>
        <v>0</v>
      </c>
      <c r="H68" s="1734">
        <f t="shared" si="5"/>
        <v>0</v>
      </c>
      <c r="I68" s="1734">
        <f t="shared" si="5"/>
        <v>0</v>
      </c>
      <c r="J68" s="1734">
        <f t="shared" si="5"/>
        <v>0</v>
      </c>
      <c r="K68" s="1734">
        <f t="shared" si="5"/>
        <v>0</v>
      </c>
      <c r="L68" s="1734">
        <f t="shared" si="5"/>
        <v>0</v>
      </c>
      <c r="M68" s="1734">
        <f t="shared" si="5"/>
        <v>0</v>
      </c>
      <c r="N68" s="1734">
        <f t="shared" si="5"/>
        <v>0</v>
      </c>
      <c r="O68" s="1734">
        <f t="shared" si="5"/>
        <v>0</v>
      </c>
      <c r="P68" s="1734">
        <f t="shared" si="5"/>
        <v>0</v>
      </c>
      <c r="Q68" s="1734">
        <f t="shared" si="5"/>
        <v>0</v>
      </c>
      <c r="R68" s="1735"/>
      <c r="S68" s="1672"/>
      <c r="T68" s="1726"/>
      <c r="U68" s="1736"/>
      <c r="V68" s="1672"/>
    </row>
    <row r="69" spans="1:22" ht="12" customHeight="1">
      <c r="A69" s="1726"/>
      <c r="B69" s="1672" t="s">
        <v>4255</v>
      </c>
      <c r="C69" s="1733" t="s">
        <v>4256</v>
      </c>
      <c r="D69" s="1672" t="s">
        <v>4201</v>
      </c>
      <c r="F69" s="1734">
        <f t="shared" ref="F69:Q69" si="6">( $E45  -  F56 ) * F55 *  $E11 *  $H11 * 24 / ( $E3 * 1000)</f>
        <v>0</v>
      </c>
      <c r="G69" s="1734">
        <f t="shared" si="6"/>
        <v>0</v>
      </c>
      <c r="H69" s="1734">
        <f t="shared" si="6"/>
        <v>0</v>
      </c>
      <c r="I69" s="1734">
        <f t="shared" si="6"/>
        <v>0</v>
      </c>
      <c r="J69" s="1734">
        <f t="shared" si="6"/>
        <v>0</v>
      </c>
      <c r="K69" s="1734">
        <f t="shared" si="6"/>
        <v>0</v>
      </c>
      <c r="L69" s="1734">
        <f t="shared" si="6"/>
        <v>0</v>
      </c>
      <c r="M69" s="1734">
        <f t="shared" si="6"/>
        <v>0</v>
      </c>
      <c r="N69" s="1734">
        <f t="shared" si="6"/>
        <v>0</v>
      </c>
      <c r="O69" s="1734">
        <f t="shared" si="6"/>
        <v>0</v>
      </c>
      <c r="P69" s="1734">
        <f t="shared" si="6"/>
        <v>0</v>
      </c>
      <c r="Q69" s="1734">
        <f t="shared" si="6"/>
        <v>0</v>
      </c>
      <c r="R69" s="1735"/>
      <c r="S69" s="1672"/>
      <c r="T69" s="1726"/>
      <c r="U69" s="1736"/>
      <c r="V69" s="1672"/>
    </row>
    <row r="70" spans="1:22" ht="12" customHeight="1">
      <c r="A70" s="1350"/>
      <c r="B70" s="1672" t="s">
        <v>4257</v>
      </c>
      <c r="C70" s="1733" t="s">
        <v>4258</v>
      </c>
      <c r="D70" s="1672" t="s">
        <v>4201</v>
      </c>
      <c r="F70" s="1734">
        <f>( $E45  -  F56 ) * F55 *  $E12 *  $H12 *  $K14 * 24 / ( $E3 * 1000)</f>
        <v>1.4954400000000001</v>
      </c>
      <c r="G70" s="1734">
        <f t="shared" ref="G70:Q70" si="7">( $E45  -  G56 ) * G55 *  $E12 *  $H12 *  $K14 * 24 / ( $E3 * 1000)</f>
        <v>1.2566400000000002</v>
      </c>
      <c r="H70" s="1734">
        <f t="shared" si="7"/>
        <v>1.0936800000000002</v>
      </c>
      <c r="I70" s="1734">
        <f t="shared" si="7"/>
        <v>0.85680000000000001</v>
      </c>
      <c r="J70" s="1734">
        <f t="shared" si="7"/>
        <v>0.50592000000000004</v>
      </c>
      <c r="K70" s="1734">
        <f t="shared" si="7"/>
        <v>0.28079999999999988</v>
      </c>
      <c r="L70" s="1734">
        <f t="shared" si="7"/>
        <v>0.11904000000000012</v>
      </c>
      <c r="M70" s="1734">
        <f t="shared" si="7"/>
        <v>0.11904000000000012</v>
      </c>
      <c r="N70" s="1734">
        <f t="shared" si="7"/>
        <v>0.43919999999999998</v>
      </c>
      <c r="O70" s="1734">
        <f t="shared" si="7"/>
        <v>0.77376000000000023</v>
      </c>
      <c r="P70" s="1734">
        <f t="shared" si="7"/>
        <v>1.1592000000000005</v>
      </c>
      <c r="Q70" s="1734">
        <f t="shared" si="7"/>
        <v>1.39872</v>
      </c>
      <c r="R70" s="1735"/>
      <c r="S70" s="1672"/>
      <c r="T70" s="1350"/>
      <c r="U70" s="1736"/>
      <c r="V70" s="1672"/>
    </row>
    <row r="71" spans="1:22" ht="12" customHeight="1">
      <c r="A71" s="1350"/>
      <c r="B71" s="1672" t="s">
        <v>4259</v>
      </c>
      <c r="C71" s="1733" t="s">
        <v>4260</v>
      </c>
      <c r="D71" s="1672" t="s">
        <v>4201</v>
      </c>
      <c r="F71" s="1734">
        <f t="shared" ref="F71:Q71" si="8">( $E45  -  F56  +  $N16 ) * F55 *  $E13 *  $H13  * $K13 * 24 / ( $E3 * 1000)</f>
        <v>0</v>
      </c>
      <c r="G71" s="1734">
        <f t="shared" si="8"/>
        <v>0</v>
      </c>
      <c r="H71" s="1734">
        <f t="shared" si="8"/>
        <v>0</v>
      </c>
      <c r="I71" s="1734">
        <f t="shared" si="8"/>
        <v>0</v>
      </c>
      <c r="J71" s="1734">
        <f t="shared" si="8"/>
        <v>0</v>
      </c>
      <c r="K71" s="1734">
        <f t="shared" si="8"/>
        <v>0</v>
      </c>
      <c r="L71" s="1734">
        <f t="shared" si="8"/>
        <v>0</v>
      </c>
      <c r="M71" s="1734">
        <f t="shared" si="8"/>
        <v>0</v>
      </c>
      <c r="N71" s="1734">
        <f t="shared" si="8"/>
        <v>0</v>
      </c>
      <c r="O71" s="1734">
        <f t="shared" si="8"/>
        <v>0</v>
      </c>
      <c r="P71" s="1734">
        <f t="shared" si="8"/>
        <v>0</v>
      </c>
      <c r="Q71" s="1734">
        <f t="shared" si="8"/>
        <v>0</v>
      </c>
      <c r="R71" s="1735"/>
      <c r="S71" s="1672"/>
      <c r="T71" s="1350"/>
      <c r="U71" s="1736"/>
      <c r="V71" s="1672"/>
    </row>
    <row r="72" spans="1:22" ht="12" customHeight="1">
      <c r="A72" s="1350"/>
      <c r="B72" s="1672" t="s">
        <v>4261</v>
      </c>
      <c r="C72" s="1733" t="s">
        <v>4258</v>
      </c>
      <c r="D72" s="1672" t="s">
        <v>4201</v>
      </c>
      <c r="F72" s="1734">
        <f t="shared" ref="F72:Q72" si="9">($E45  -  F56  +  $N16 )*F55* $E14*  $H14 * $K14* 24 / ( $E3 * 1000)</f>
        <v>0</v>
      </c>
      <c r="G72" s="1734">
        <f t="shared" si="9"/>
        <v>0</v>
      </c>
      <c r="H72" s="1734">
        <f t="shared" si="9"/>
        <v>0</v>
      </c>
      <c r="I72" s="1734">
        <f t="shared" si="9"/>
        <v>0</v>
      </c>
      <c r="J72" s="1734">
        <f t="shared" si="9"/>
        <v>0</v>
      </c>
      <c r="K72" s="1734">
        <f t="shared" si="9"/>
        <v>0</v>
      </c>
      <c r="L72" s="1734">
        <f t="shared" si="9"/>
        <v>0</v>
      </c>
      <c r="M72" s="1734">
        <f t="shared" si="9"/>
        <v>0</v>
      </c>
      <c r="N72" s="1734">
        <f t="shared" si="9"/>
        <v>0</v>
      </c>
      <c r="O72" s="1734">
        <f t="shared" si="9"/>
        <v>0</v>
      </c>
      <c r="P72" s="1734">
        <f t="shared" si="9"/>
        <v>0</v>
      </c>
      <c r="Q72" s="1734">
        <f t="shared" si="9"/>
        <v>0</v>
      </c>
      <c r="R72" s="1735"/>
      <c r="S72" s="1672"/>
      <c r="T72" s="1350"/>
      <c r="U72" s="1736"/>
      <c r="V72" s="1672"/>
    </row>
    <row r="73" spans="1:22" ht="12" customHeight="1">
      <c r="A73" s="1350"/>
      <c r="B73" s="1672" t="s">
        <v>4262</v>
      </c>
      <c r="C73" s="1733" t="s">
        <v>4263</v>
      </c>
      <c r="D73" s="1672" t="s">
        <v>4201</v>
      </c>
      <c r="F73" s="1734">
        <f t="shared" ref="F73:Q73" si="10">($E45  -  $N10  +  $N16 )*F55* $E15*  $H15* 24 / ( $E3 * 1000)</f>
        <v>0</v>
      </c>
      <c r="G73" s="1734">
        <f t="shared" si="10"/>
        <v>0</v>
      </c>
      <c r="H73" s="1734">
        <f t="shared" si="10"/>
        <v>0</v>
      </c>
      <c r="I73" s="1734">
        <f t="shared" si="10"/>
        <v>0</v>
      </c>
      <c r="J73" s="1734">
        <f t="shared" si="10"/>
        <v>0</v>
      </c>
      <c r="K73" s="1734">
        <f t="shared" si="10"/>
        <v>0</v>
      </c>
      <c r="L73" s="1734">
        <f t="shared" si="10"/>
        <v>0</v>
      </c>
      <c r="M73" s="1734">
        <f t="shared" si="10"/>
        <v>0</v>
      </c>
      <c r="N73" s="1734">
        <f t="shared" si="10"/>
        <v>0</v>
      </c>
      <c r="O73" s="1734">
        <f t="shared" si="10"/>
        <v>0</v>
      </c>
      <c r="P73" s="1734">
        <f t="shared" si="10"/>
        <v>0</v>
      </c>
      <c r="Q73" s="1734">
        <f t="shared" si="10"/>
        <v>0</v>
      </c>
      <c r="R73" s="1735"/>
      <c r="S73" s="1672"/>
      <c r="T73" s="1350"/>
      <c r="U73" s="1736"/>
      <c r="V73" s="1672"/>
    </row>
    <row r="74" spans="1:22" ht="12" customHeight="1">
      <c r="A74" s="1350"/>
      <c r="B74" s="1672" t="s">
        <v>4264</v>
      </c>
      <c r="C74" s="1733" t="s">
        <v>4265</v>
      </c>
      <c r="D74" s="1672" t="s">
        <v>4201</v>
      </c>
      <c r="F74" s="1734">
        <f t="shared" ref="F74:Q74" si="11">($E45  -  $N10  +  $N16 )*F55* $E16*  $H16* 24 / ( $E3 * 1000)</f>
        <v>0</v>
      </c>
      <c r="G74" s="1734">
        <f t="shared" si="11"/>
        <v>0</v>
      </c>
      <c r="H74" s="1734">
        <f t="shared" si="11"/>
        <v>0</v>
      </c>
      <c r="I74" s="1734">
        <f t="shared" si="11"/>
        <v>0</v>
      </c>
      <c r="J74" s="1734">
        <f t="shared" si="11"/>
        <v>0</v>
      </c>
      <c r="K74" s="1734">
        <f t="shared" si="11"/>
        <v>0</v>
      </c>
      <c r="L74" s="1734">
        <f t="shared" si="11"/>
        <v>0</v>
      </c>
      <c r="M74" s="1734">
        <f t="shared" si="11"/>
        <v>0</v>
      </c>
      <c r="N74" s="1734">
        <f t="shared" si="11"/>
        <v>0</v>
      </c>
      <c r="O74" s="1734">
        <f t="shared" si="11"/>
        <v>0</v>
      </c>
      <c r="P74" s="1734">
        <f t="shared" si="11"/>
        <v>0</v>
      </c>
      <c r="Q74" s="1734">
        <f t="shared" si="11"/>
        <v>0</v>
      </c>
      <c r="R74" s="1735"/>
      <c r="S74" s="1672"/>
      <c r="T74" s="1350"/>
      <c r="U74" s="1736"/>
      <c r="V74" s="1672"/>
    </row>
    <row r="75" spans="1:22" ht="12" customHeight="1">
      <c r="A75" s="1726"/>
      <c r="B75" s="1672" t="s">
        <v>4266</v>
      </c>
      <c r="C75" s="1733" t="s">
        <v>4267</v>
      </c>
      <c r="D75" s="1672" t="s">
        <v>4201</v>
      </c>
      <c r="F75" s="1734">
        <f t="shared" ref="F75:Q75" si="12">($E45  -  F56 )*F55* $E18 *  $H18* 24 / ( $E3 * 1000)</f>
        <v>0</v>
      </c>
      <c r="G75" s="1734">
        <f t="shared" si="12"/>
        <v>0</v>
      </c>
      <c r="H75" s="1734">
        <f t="shared" si="12"/>
        <v>0</v>
      </c>
      <c r="I75" s="1734">
        <f t="shared" si="12"/>
        <v>0</v>
      </c>
      <c r="J75" s="1734">
        <f t="shared" si="12"/>
        <v>0</v>
      </c>
      <c r="K75" s="1734">
        <f t="shared" si="12"/>
        <v>0</v>
      </c>
      <c r="L75" s="1734">
        <f t="shared" si="12"/>
        <v>0</v>
      </c>
      <c r="M75" s="1734">
        <f t="shared" si="12"/>
        <v>0</v>
      </c>
      <c r="N75" s="1734">
        <f t="shared" si="12"/>
        <v>0</v>
      </c>
      <c r="O75" s="1734">
        <f t="shared" si="12"/>
        <v>0</v>
      </c>
      <c r="P75" s="1734">
        <f t="shared" si="12"/>
        <v>0</v>
      </c>
      <c r="Q75" s="1734">
        <f t="shared" si="12"/>
        <v>0</v>
      </c>
      <c r="R75" s="1735"/>
      <c r="S75" s="1672"/>
      <c r="T75" s="1726"/>
      <c r="U75" s="1736"/>
      <c r="V75" s="1672"/>
    </row>
    <row r="76" spans="1:22" ht="12" customHeight="1">
      <c r="A76" s="1726"/>
      <c r="B76" s="1672" t="s">
        <v>4268</v>
      </c>
      <c r="C76" s="1733" t="s">
        <v>4269</v>
      </c>
      <c r="D76" s="1672" t="s">
        <v>4201</v>
      </c>
      <c r="F76" s="1734">
        <f t="shared" ref="F76:Q76" si="13">($E45  -  F56 )*F55* $E19 *  $H19* 24 / ( $E3 * 1000)</f>
        <v>0.73575648000000005</v>
      </c>
      <c r="G76" s="1734">
        <f t="shared" si="13"/>
        <v>0.61826687999999996</v>
      </c>
      <c r="H76" s="1734">
        <f t="shared" si="13"/>
        <v>0.53809055999999988</v>
      </c>
      <c r="I76" s="1734">
        <f t="shared" si="13"/>
        <v>0.42154559999999991</v>
      </c>
      <c r="J76" s="1734">
        <f t="shared" si="13"/>
        <v>0.24891264000000002</v>
      </c>
      <c r="K76" s="1734">
        <f t="shared" si="13"/>
        <v>0.13815359999999996</v>
      </c>
      <c r="L76" s="1734">
        <f t="shared" si="13"/>
        <v>5.8567680000000039E-2</v>
      </c>
      <c r="M76" s="1734">
        <f t="shared" si="13"/>
        <v>5.8567680000000039E-2</v>
      </c>
      <c r="N76" s="1734">
        <f t="shared" si="13"/>
        <v>0.21608639999999996</v>
      </c>
      <c r="O76" s="1734">
        <f t="shared" si="13"/>
        <v>0.38068991999999996</v>
      </c>
      <c r="P76" s="1734">
        <f t="shared" si="13"/>
        <v>0.57032640000000001</v>
      </c>
      <c r="Q76" s="1734">
        <f t="shared" si="13"/>
        <v>0.68817024000000004</v>
      </c>
      <c r="R76" s="1735"/>
      <c r="S76" s="1672"/>
      <c r="T76" s="1726"/>
      <c r="U76" s="1736"/>
      <c r="V76" s="1672"/>
    </row>
    <row r="77" spans="1:22" ht="12" customHeight="1">
      <c r="A77" s="1726"/>
      <c r="B77" s="1672" t="s">
        <v>4270</v>
      </c>
      <c r="C77" s="1733" t="s">
        <v>4271</v>
      </c>
      <c r="D77" s="1672" t="s">
        <v>4201</v>
      </c>
      <c r="F77" s="1734">
        <f t="shared" ref="F77:Q77" si="14">($E45  -  F56 )*F55* $E20 *  $H20* 24 / ( $E3 * 1000)</f>
        <v>0.73575648000000005</v>
      </c>
      <c r="G77" s="1734">
        <f t="shared" si="14"/>
        <v>0.61826687999999996</v>
      </c>
      <c r="H77" s="1734">
        <f t="shared" si="14"/>
        <v>0.53809055999999988</v>
      </c>
      <c r="I77" s="1734">
        <f t="shared" si="14"/>
        <v>0.42154559999999991</v>
      </c>
      <c r="J77" s="1734">
        <f t="shared" si="14"/>
        <v>0.24891264000000002</v>
      </c>
      <c r="K77" s="1734">
        <f t="shared" si="14"/>
        <v>0.13815359999999996</v>
      </c>
      <c r="L77" s="1734">
        <f t="shared" si="14"/>
        <v>5.8567680000000039E-2</v>
      </c>
      <c r="M77" s="1734">
        <f t="shared" si="14"/>
        <v>5.8567680000000039E-2</v>
      </c>
      <c r="N77" s="1734">
        <f t="shared" si="14"/>
        <v>0.21608639999999996</v>
      </c>
      <c r="O77" s="1734">
        <f t="shared" si="14"/>
        <v>0.38068991999999996</v>
      </c>
      <c r="P77" s="1734">
        <f t="shared" si="14"/>
        <v>0.57032640000000001</v>
      </c>
      <c r="Q77" s="1734">
        <f t="shared" si="14"/>
        <v>0.68817024000000004</v>
      </c>
      <c r="R77" s="1735"/>
      <c r="S77" s="1672"/>
      <c r="T77" s="1726"/>
      <c r="U77" s="1736"/>
      <c r="V77" s="1672"/>
    </row>
    <row r="78" spans="1:22" ht="12" customHeight="1">
      <c r="A78" s="1726"/>
      <c r="B78" s="1672" t="s">
        <v>4272</v>
      </c>
      <c r="C78" s="1733" t="s">
        <v>4273</v>
      </c>
      <c r="D78" s="1672" t="s">
        <v>4201</v>
      </c>
      <c r="F78" s="1734">
        <f t="shared" ref="F78:Q78" si="15">($E45  -  F56 )*F55* $E21 *  $H21* 24 / ( $E3 * 1000)</f>
        <v>0.73575648000000005</v>
      </c>
      <c r="G78" s="1734">
        <f t="shared" si="15"/>
        <v>0.61826687999999996</v>
      </c>
      <c r="H78" s="1734">
        <f t="shared" si="15"/>
        <v>0.53809055999999988</v>
      </c>
      <c r="I78" s="1734">
        <f t="shared" si="15"/>
        <v>0.42154559999999991</v>
      </c>
      <c r="J78" s="1734">
        <f t="shared" si="15"/>
        <v>0.24891264000000002</v>
      </c>
      <c r="K78" s="1734">
        <f t="shared" si="15"/>
        <v>0.13815359999999996</v>
      </c>
      <c r="L78" s="1734">
        <f t="shared" si="15"/>
        <v>5.8567680000000039E-2</v>
      </c>
      <c r="M78" s="1734">
        <f t="shared" si="15"/>
        <v>5.8567680000000039E-2</v>
      </c>
      <c r="N78" s="1734">
        <f t="shared" si="15"/>
        <v>0.21608639999999996</v>
      </c>
      <c r="O78" s="1734">
        <f t="shared" si="15"/>
        <v>0.38068991999999996</v>
      </c>
      <c r="P78" s="1734">
        <f t="shared" si="15"/>
        <v>0.57032640000000001</v>
      </c>
      <c r="Q78" s="1734">
        <f t="shared" si="15"/>
        <v>0.68817024000000004</v>
      </c>
      <c r="R78" s="1735"/>
      <c r="S78" s="1672"/>
      <c r="T78" s="1726"/>
      <c r="U78" s="1736"/>
      <c r="V78" s="1672"/>
    </row>
    <row r="79" spans="1:22" ht="12" customHeight="1">
      <c r="A79" s="1726"/>
      <c r="B79" s="1672" t="s">
        <v>4274</v>
      </c>
      <c r="C79" s="1733" t="s">
        <v>4275</v>
      </c>
      <c r="D79" s="1672" t="s">
        <v>4201</v>
      </c>
      <c r="F79" s="1734">
        <f t="shared" ref="F79:Q79" si="16">($E45  -  F56 )*F55* $E22 *  $H22* 24 / ( $E3 * 1000)</f>
        <v>0.73575648000000005</v>
      </c>
      <c r="G79" s="1734">
        <f t="shared" si="16"/>
        <v>0.61826687999999996</v>
      </c>
      <c r="H79" s="1734">
        <f t="shared" si="16"/>
        <v>0.53809055999999988</v>
      </c>
      <c r="I79" s="1734">
        <f t="shared" si="16"/>
        <v>0.42154559999999991</v>
      </c>
      <c r="J79" s="1734">
        <f t="shared" si="16"/>
        <v>0.24891264000000002</v>
      </c>
      <c r="K79" s="1734">
        <f t="shared" si="16"/>
        <v>0.13815359999999996</v>
      </c>
      <c r="L79" s="1734">
        <f t="shared" si="16"/>
        <v>5.8567680000000039E-2</v>
      </c>
      <c r="M79" s="1734">
        <f t="shared" si="16"/>
        <v>5.8567680000000039E-2</v>
      </c>
      <c r="N79" s="1734">
        <f t="shared" si="16"/>
        <v>0.21608639999999996</v>
      </c>
      <c r="O79" s="1734">
        <f t="shared" si="16"/>
        <v>0.38068991999999996</v>
      </c>
      <c r="P79" s="1734">
        <f t="shared" si="16"/>
        <v>0.57032640000000001</v>
      </c>
      <c r="Q79" s="1734">
        <f t="shared" si="16"/>
        <v>0.68817024000000004</v>
      </c>
      <c r="R79" s="1735"/>
      <c r="S79" s="1672"/>
      <c r="T79" s="1726"/>
      <c r="U79" s="1736"/>
      <c r="V79" s="1672"/>
    </row>
    <row r="80" spans="1:22" ht="12" customHeight="1">
      <c r="A80" s="1350"/>
      <c r="B80" s="1672" t="s">
        <v>4276</v>
      </c>
      <c r="C80" s="1733" t="s">
        <v>4277</v>
      </c>
      <c r="D80" s="1672" t="s">
        <v>4201</v>
      </c>
      <c r="F80" s="1734">
        <f t="shared" ref="F80:Q80" si="17">($E45  -  F56 )*F55* $E30 *  $H30* 24 / ( $E3 * 1000)</f>
        <v>0.17966301505768387</v>
      </c>
      <c r="G80" s="1734">
        <f t="shared" si="17"/>
        <v>0.15097344677291488</v>
      </c>
      <c r="H80" s="1734">
        <f t="shared" si="17"/>
        <v>0.1313953393705449</v>
      </c>
      <c r="I80" s="1734">
        <f t="shared" si="17"/>
        <v>0.10293644098153289</v>
      </c>
      <c r="J80" s="1734">
        <f t="shared" si="17"/>
        <v>6.0781517531952753E-2</v>
      </c>
      <c r="K80" s="1734">
        <f t="shared" si="17"/>
        <v>3.3735472254451941E-2</v>
      </c>
      <c r="L80" s="1734">
        <f t="shared" si="17"/>
        <v>1.4301533536930072E-2</v>
      </c>
      <c r="M80" s="1734">
        <f t="shared" si="17"/>
        <v>1.4301533536930072E-2</v>
      </c>
      <c r="N80" s="1734">
        <f t="shared" si="17"/>
        <v>5.2765738654399208E-2</v>
      </c>
      <c r="O80" s="1734">
        <f t="shared" si="17"/>
        <v>9.2959967990045383E-2</v>
      </c>
      <c r="P80" s="1734">
        <f t="shared" si="17"/>
        <v>0.13926694956325039</v>
      </c>
      <c r="Q80" s="1734">
        <f t="shared" si="17"/>
        <v>0.16804301905892816</v>
      </c>
      <c r="R80" s="1735"/>
      <c r="S80" s="1672"/>
      <c r="T80" s="1350"/>
      <c r="U80" s="1736"/>
      <c r="V80" s="1672"/>
    </row>
    <row r="81" spans="1:23" ht="12" customHeight="1">
      <c r="A81" s="1737"/>
      <c r="B81" s="1672" t="s">
        <v>4278</v>
      </c>
      <c r="C81" s="1733" t="s">
        <v>4279</v>
      </c>
      <c r="D81" s="1672" t="s">
        <v>4201</v>
      </c>
      <c r="F81" s="1734">
        <f t="shared" ref="F81:Q81" si="18">($E45  -  F56 )*F55* $E31 *  $H31* 24 / ( $E3 * 1000)</f>
        <v>0.16719527481361429</v>
      </c>
      <c r="G81" s="1734">
        <f t="shared" si="18"/>
        <v>0.1404966231622668</v>
      </c>
      <c r="H81" s="1734">
        <f t="shared" si="18"/>
        <v>0.1222771412815985</v>
      </c>
      <c r="I81" s="1734">
        <f t="shared" si="18"/>
        <v>9.5793152156090994E-2</v>
      </c>
      <c r="J81" s="1734">
        <f t="shared" si="18"/>
        <v>5.6563575558834692E-2</v>
      </c>
      <c r="K81" s="1734">
        <f t="shared" si="18"/>
        <v>3.139439440409704E-2</v>
      </c>
      <c r="L81" s="1734">
        <f t="shared" si="18"/>
        <v>1.3309076602078761E-2</v>
      </c>
      <c r="M81" s="1734">
        <f t="shared" si="18"/>
        <v>1.3309076602078761E-2</v>
      </c>
      <c r="N81" s="1734">
        <f t="shared" si="18"/>
        <v>4.9104052785895386E-2</v>
      </c>
      <c r="O81" s="1734">
        <f t="shared" si="18"/>
        <v>8.6508997913511868E-2</v>
      </c>
      <c r="P81" s="1734">
        <f t="shared" si="18"/>
        <v>0.12960249997588785</v>
      </c>
      <c r="Q81" s="1734">
        <f t="shared" si="18"/>
        <v>0.15638165007442534</v>
      </c>
      <c r="R81" s="1735"/>
      <c r="S81" s="1672"/>
      <c r="T81" s="1737"/>
      <c r="U81" s="1736"/>
      <c r="V81" s="1672"/>
    </row>
    <row r="82" spans="1:23" ht="12" customHeight="1">
      <c r="B82" s="1672" t="s">
        <v>4280</v>
      </c>
      <c r="C82" s="1738" t="s">
        <v>4281</v>
      </c>
      <c r="D82" s="1698" t="s">
        <v>4201</v>
      </c>
      <c r="F82" s="1734">
        <f t="shared" ref="F82:Q82" si="19">($E45  -  F56 )*F55* $E32 *  $H32* 24 / ( $E3 * 1000)</f>
        <v>0</v>
      </c>
      <c r="G82" s="1734">
        <f t="shared" si="19"/>
        <v>0</v>
      </c>
      <c r="H82" s="1734">
        <f t="shared" si="19"/>
        <v>0</v>
      </c>
      <c r="I82" s="1734">
        <f t="shared" si="19"/>
        <v>0</v>
      </c>
      <c r="J82" s="1734">
        <f t="shared" si="19"/>
        <v>0</v>
      </c>
      <c r="K82" s="1734">
        <f t="shared" si="19"/>
        <v>0</v>
      </c>
      <c r="L82" s="1734">
        <f t="shared" si="19"/>
        <v>0</v>
      </c>
      <c r="M82" s="1734">
        <f t="shared" si="19"/>
        <v>0</v>
      </c>
      <c r="N82" s="1734">
        <f t="shared" si="19"/>
        <v>0</v>
      </c>
      <c r="O82" s="1734">
        <f t="shared" si="19"/>
        <v>0</v>
      </c>
      <c r="P82" s="1734">
        <f t="shared" si="19"/>
        <v>0</v>
      </c>
      <c r="Q82" s="1734">
        <f t="shared" si="19"/>
        <v>0</v>
      </c>
      <c r="R82" s="1735"/>
      <c r="U82" s="1736"/>
      <c r="V82" s="1672"/>
    </row>
    <row r="83" spans="1:23" ht="12" customHeight="1">
      <c r="B83" s="1672" t="s">
        <v>4282</v>
      </c>
      <c r="C83" s="1738" t="s">
        <v>4283</v>
      </c>
      <c r="D83" s="1698" t="s">
        <v>4201</v>
      </c>
      <c r="F83" s="1734">
        <f t="shared" ref="F83:Q83" si="20">($E45  -  F56 )*F55* $E33 *  $H33* 24 / ( $E3 * 1000)</f>
        <v>0.44863199999999998</v>
      </c>
      <c r="G83" s="1734">
        <f t="shared" si="20"/>
        <v>0.37699199999999999</v>
      </c>
      <c r="H83" s="1734">
        <f t="shared" si="20"/>
        <v>0.32810399999999995</v>
      </c>
      <c r="I83" s="1734">
        <f t="shared" si="20"/>
        <v>0.25703999999999999</v>
      </c>
      <c r="J83" s="1734">
        <f t="shared" si="20"/>
        <v>0.15177599999999999</v>
      </c>
      <c r="K83" s="1734">
        <f t="shared" si="20"/>
        <v>8.4239999999999968E-2</v>
      </c>
      <c r="L83" s="1734">
        <f t="shared" si="20"/>
        <v>3.5712000000000035E-2</v>
      </c>
      <c r="M83" s="1734">
        <f t="shared" si="20"/>
        <v>3.5712000000000035E-2</v>
      </c>
      <c r="N83" s="1734">
        <f t="shared" si="20"/>
        <v>0.13175999999999999</v>
      </c>
      <c r="O83" s="1734">
        <f t="shared" si="20"/>
        <v>0.23212800000000003</v>
      </c>
      <c r="P83" s="1734">
        <f t="shared" si="20"/>
        <v>0.34776000000000001</v>
      </c>
      <c r="Q83" s="1734">
        <f t="shared" si="20"/>
        <v>0.41961599999999999</v>
      </c>
      <c r="R83" s="1735"/>
      <c r="U83" s="1736"/>
      <c r="V83" s="1672"/>
    </row>
    <row r="84" spans="1:23" ht="12" customHeight="1">
      <c r="B84" s="1672" t="s">
        <v>4284</v>
      </c>
      <c r="C84" s="1738" t="s">
        <v>4285</v>
      </c>
      <c r="D84" s="1698" t="s">
        <v>4201</v>
      </c>
      <c r="F84" s="1734">
        <f t="shared" ref="F84:Q84" si="21">($E45  -  F56 )*F55* $E34 *  $K14 *  $H34* 24 / ( $E3 * 1000)</f>
        <v>0</v>
      </c>
      <c r="G84" s="1734">
        <f t="shared" si="21"/>
        <v>0</v>
      </c>
      <c r="H84" s="1734">
        <f t="shared" si="21"/>
        <v>0</v>
      </c>
      <c r="I84" s="1734">
        <f t="shared" si="21"/>
        <v>0</v>
      </c>
      <c r="J84" s="1734">
        <f t="shared" si="21"/>
        <v>0</v>
      </c>
      <c r="K84" s="1734">
        <f t="shared" si="21"/>
        <v>0</v>
      </c>
      <c r="L84" s="1734">
        <f t="shared" si="21"/>
        <v>0</v>
      </c>
      <c r="M84" s="1734">
        <f t="shared" si="21"/>
        <v>0</v>
      </c>
      <c r="N84" s="1734">
        <f t="shared" si="21"/>
        <v>0</v>
      </c>
      <c r="O84" s="1734">
        <f t="shared" si="21"/>
        <v>0</v>
      </c>
      <c r="P84" s="1734">
        <f t="shared" si="21"/>
        <v>0</v>
      </c>
      <c r="Q84" s="1734">
        <f t="shared" si="21"/>
        <v>0</v>
      </c>
      <c r="R84" s="1735"/>
      <c r="U84" s="1736"/>
      <c r="V84" s="1672"/>
    </row>
    <row r="85" spans="1:23" ht="12" customHeight="1">
      <c r="B85" s="1683" t="s">
        <v>4286</v>
      </c>
      <c r="C85" s="1682" t="s">
        <v>4287</v>
      </c>
      <c r="D85" s="1675" t="s">
        <v>4288</v>
      </c>
      <c r="F85" s="1734">
        <f t="shared" ref="F85:Q85" si="22">($E45  -  F56 )*F55* $E35 *  $H35* 24 / ( $E3 * 1000)</f>
        <v>0</v>
      </c>
      <c r="G85" s="1734">
        <f t="shared" si="22"/>
        <v>0</v>
      </c>
      <c r="H85" s="1734">
        <f t="shared" si="22"/>
        <v>0</v>
      </c>
      <c r="I85" s="1734">
        <f t="shared" si="22"/>
        <v>0</v>
      </c>
      <c r="J85" s="1734">
        <f t="shared" si="22"/>
        <v>0</v>
      </c>
      <c r="K85" s="1734">
        <f t="shared" si="22"/>
        <v>0</v>
      </c>
      <c r="L85" s="1734">
        <f t="shared" si="22"/>
        <v>0</v>
      </c>
      <c r="M85" s="1734">
        <f t="shared" si="22"/>
        <v>0</v>
      </c>
      <c r="N85" s="1734">
        <f t="shared" si="22"/>
        <v>0</v>
      </c>
      <c r="O85" s="1734">
        <f t="shared" si="22"/>
        <v>0</v>
      </c>
      <c r="P85" s="1734">
        <f t="shared" si="22"/>
        <v>0</v>
      </c>
      <c r="Q85" s="1734">
        <f t="shared" si="22"/>
        <v>0</v>
      </c>
      <c r="R85" s="1735"/>
      <c r="S85" s="1682"/>
      <c r="T85" s="1682"/>
      <c r="U85" s="1736"/>
      <c r="V85" s="1682"/>
    </row>
    <row r="86" spans="1:23" s="1681" customFormat="1" ht="12" customHeight="1">
      <c r="B86" s="1685" t="s">
        <v>4289</v>
      </c>
      <c r="C86" s="1684" t="s">
        <v>4290</v>
      </c>
      <c r="D86" s="1739" t="s">
        <v>4201</v>
      </c>
      <c r="E86" s="1725"/>
      <c r="F86" s="1740">
        <f t="shared" ref="F86:K86" si="23">IF((SUM(F63:F85)+($E45-F56)*$E43*F55*F87*24/1000)&lt;0,0,SUM(F63:F85))</f>
        <v>10.159181057018088</v>
      </c>
      <c r="G86" s="1740">
        <f t="shared" si="23"/>
        <v>8.5369077218017502</v>
      </c>
      <c r="H86" s="1740">
        <f t="shared" si="23"/>
        <v>7.4298488327445682</v>
      </c>
      <c r="I86" s="1740">
        <f t="shared" si="23"/>
        <v>5.8206189012284648</v>
      </c>
      <c r="J86" s="1740">
        <f t="shared" si="23"/>
        <v>3.4369368750110936</v>
      </c>
      <c r="K86" s="1740">
        <f t="shared" si="23"/>
        <v>1.9075977911589075</v>
      </c>
      <c r="L86" s="1740">
        <f>IF((SUM(L63:L85)+($E45-L56)*$E43*L55*L87*24/1000)&lt;0,0,SUM(L63:L85))</f>
        <v>0.80869102941437576</v>
      </c>
      <c r="M86" s="1740">
        <f t="shared" ref="M86:Q86" si="24">IF((SUM(M63:M85)+($E45-M56)*$E43*M55*M87*24/1000)&lt;0,0,SUM(M63:M85))</f>
        <v>0.80869102941437576</v>
      </c>
      <c r="N86" s="1740">
        <f t="shared" si="24"/>
        <v>2.983678596428037</v>
      </c>
      <c r="O86" s="1740">
        <f t="shared" si="24"/>
        <v>5.2564916911934381</v>
      </c>
      <c r="P86" s="1740">
        <f t="shared" si="24"/>
        <v>7.8749549840149822</v>
      </c>
      <c r="Q86" s="1740">
        <f t="shared" si="24"/>
        <v>9.5021195956189075</v>
      </c>
      <c r="R86" s="1725"/>
      <c r="U86" s="1741"/>
    </row>
    <row r="87" spans="1:23" ht="12" customHeight="1">
      <c r="A87" s="1666" t="s">
        <v>4291</v>
      </c>
      <c r="B87" s="1682" t="s">
        <v>4292</v>
      </c>
      <c r="C87" s="1682"/>
      <c r="D87" s="1698" t="s">
        <v>4293</v>
      </c>
      <c r="F87" s="1742">
        <f t="shared" ref="F87:Q87" si="25">(1220 - 0.14 *  $E2 ) / 3600</f>
        <v>0.31555555555555553</v>
      </c>
      <c r="G87" s="1742">
        <f t="shared" si="25"/>
        <v>0.31555555555555553</v>
      </c>
      <c r="H87" s="1742">
        <f t="shared" si="25"/>
        <v>0.31555555555555553</v>
      </c>
      <c r="I87" s="1742">
        <f t="shared" si="25"/>
        <v>0.31555555555555553</v>
      </c>
      <c r="J87" s="1742">
        <f t="shared" si="25"/>
        <v>0.31555555555555553</v>
      </c>
      <c r="K87" s="1742">
        <f t="shared" si="25"/>
        <v>0.31555555555555553</v>
      </c>
      <c r="L87" s="1742">
        <f t="shared" si="25"/>
        <v>0.31555555555555553</v>
      </c>
      <c r="M87" s="1742">
        <f t="shared" si="25"/>
        <v>0.31555555555555553</v>
      </c>
      <c r="N87" s="1742">
        <f t="shared" si="25"/>
        <v>0.31555555555555553</v>
      </c>
      <c r="O87" s="1742">
        <f t="shared" si="25"/>
        <v>0.31555555555555553</v>
      </c>
      <c r="P87" s="1742">
        <f t="shared" si="25"/>
        <v>0.31555555555555553</v>
      </c>
      <c r="Q87" s="1742">
        <f t="shared" si="25"/>
        <v>0.31555555555555553</v>
      </c>
      <c r="U87" s="1736"/>
      <c r="V87" s="1682"/>
    </row>
    <row r="88" spans="1:23" ht="12" customHeight="1">
      <c r="B88" s="1682" t="s">
        <v>4294</v>
      </c>
      <c r="C88" s="1682"/>
      <c r="D88" s="1698" t="s">
        <v>4206</v>
      </c>
      <c r="F88" s="1742">
        <f t="shared" ref="F88:Q88" si="26">$E43</f>
        <v>0.7</v>
      </c>
      <c r="G88" s="1742">
        <f t="shared" si="26"/>
        <v>0.7</v>
      </c>
      <c r="H88" s="1742">
        <f t="shared" si="26"/>
        <v>0.7</v>
      </c>
      <c r="I88" s="1742">
        <f t="shared" si="26"/>
        <v>0.7</v>
      </c>
      <c r="J88" s="1742">
        <f t="shared" si="26"/>
        <v>0.7</v>
      </c>
      <c r="K88" s="1742">
        <f t="shared" si="26"/>
        <v>0.7</v>
      </c>
      <c r="L88" s="1742">
        <f t="shared" si="26"/>
        <v>0.7</v>
      </c>
      <c r="M88" s="1742">
        <f t="shared" si="26"/>
        <v>0.7</v>
      </c>
      <c r="N88" s="1742">
        <f t="shared" si="26"/>
        <v>0.7</v>
      </c>
      <c r="O88" s="1742">
        <f t="shared" si="26"/>
        <v>0.7</v>
      </c>
      <c r="P88" s="1742">
        <f t="shared" si="26"/>
        <v>0.7</v>
      </c>
      <c r="Q88" s="1742">
        <f t="shared" si="26"/>
        <v>0.7</v>
      </c>
      <c r="U88" s="1736"/>
      <c r="V88" s="1682"/>
    </row>
    <row r="89" spans="1:23" s="1681" customFormat="1" ht="12" customHeight="1">
      <c r="B89" s="1684" t="s">
        <v>4295</v>
      </c>
      <c r="C89" s="1684"/>
      <c r="D89" s="1739" t="s">
        <v>4201</v>
      </c>
      <c r="E89" s="1725"/>
      <c r="F89" s="1743">
        <f t="shared" ref="F89:K89" si="27">IF( (SUM(F63:F85)  + ( $E45  -  F56 ) * F88  * F55  * F87 * 24 / 1000 )&lt; 0,0,( $E45  -  F56 ) *F88*  F55*  F87 * 24 / 1000)</f>
        <v>3.3032607999999999</v>
      </c>
      <c r="G89" s="1743">
        <f t="shared" si="27"/>
        <v>2.7757781333333327</v>
      </c>
      <c r="H89" s="1743">
        <f t="shared" si="27"/>
        <v>2.4158175999999996</v>
      </c>
      <c r="I89" s="1743">
        <f t="shared" si="27"/>
        <v>1.892576</v>
      </c>
      <c r="J89" s="1743">
        <f t="shared" si="27"/>
        <v>1.1175210666666666</v>
      </c>
      <c r="K89" s="1743">
        <f t="shared" si="27"/>
        <v>0.62025599999999959</v>
      </c>
      <c r="L89" s="1743">
        <f t="shared" ref="L89:Q89" si="28">IF( (SUM(L63:L85)  + ( $E45  -  L56 ) * L88  * L55  * L87 * 24 / 1000 )&lt; 0,0,( $E45  -  L56 ) *L88*  L55*  L87 * 24 / 1000)</f>
        <v>0.2629461333333335</v>
      </c>
      <c r="M89" s="1743">
        <f t="shared" si="28"/>
        <v>0.2629461333333335</v>
      </c>
      <c r="N89" s="1743">
        <f t="shared" si="28"/>
        <v>0.97014400000000001</v>
      </c>
      <c r="O89" s="1743">
        <f t="shared" si="28"/>
        <v>1.7091498666666662</v>
      </c>
      <c r="P89" s="1743">
        <f t="shared" si="28"/>
        <v>2.5605439999999993</v>
      </c>
      <c r="Q89" s="1743">
        <f t="shared" si="28"/>
        <v>3.0896170666666665</v>
      </c>
      <c r="R89" s="1744"/>
      <c r="U89" s="1741"/>
      <c r="V89" s="1685"/>
    </row>
    <row r="90" spans="1:23" ht="12" customHeight="1">
      <c r="A90" s="1666" t="s">
        <v>4296</v>
      </c>
      <c r="B90" s="1682" t="s">
        <v>4297</v>
      </c>
      <c r="C90" s="1682"/>
      <c r="D90" s="1698" t="s">
        <v>4201</v>
      </c>
      <c r="F90" s="1735">
        <f xml:space="preserve"> F86  +  F89</f>
        <v>13.462441857018089</v>
      </c>
      <c r="G90" s="1735">
        <f t="shared" ref="G90:Q90" si="29" xml:space="preserve"> G86  +  G89</f>
        <v>11.312685855135083</v>
      </c>
      <c r="H90" s="1735">
        <f t="shared" si="29"/>
        <v>9.8456664327445687</v>
      </c>
      <c r="I90" s="1735">
        <f t="shared" si="29"/>
        <v>7.7131949012284649</v>
      </c>
      <c r="J90" s="1735">
        <f t="shared" si="29"/>
        <v>4.55445794167776</v>
      </c>
      <c r="K90" s="1735">
        <f t="shared" si="29"/>
        <v>2.5278537911589072</v>
      </c>
      <c r="L90" s="1735">
        <f t="shared" si="29"/>
        <v>1.0716371627477093</v>
      </c>
      <c r="M90" s="1735">
        <f t="shared" si="29"/>
        <v>1.0716371627477093</v>
      </c>
      <c r="N90" s="1735">
        <f t="shared" si="29"/>
        <v>3.9538225964280369</v>
      </c>
      <c r="O90" s="1735">
        <f t="shared" si="29"/>
        <v>6.9656415578601045</v>
      </c>
      <c r="P90" s="1735">
        <f t="shared" si="29"/>
        <v>10.435498984014981</v>
      </c>
      <c r="Q90" s="1735">
        <f t="shared" si="29"/>
        <v>12.591736662285573</v>
      </c>
      <c r="R90" s="1735"/>
      <c r="U90" s="1736"/>
      <c r="V90" s="1672"/>
    </row>
    <row r="91" spans="1:23" s="1681" customFormat="1" ht="12" customHeight="1">
      <c r="B91" s="1745" t="s">
        <v>4298</v>
      </c>
      <c r="C91" s="1684"/>
      <c r="D91" s="1739" t="s">
        <v>4184</v>
      </c>
      <c r="F91" s="1746">
        <f xml:space="preserve"> $E5 *  $H5  +  $E6 *  $H6   * $K6  +$E7*$H7+$E8*$H8*$K8+$E9*$H9*$K9+$E10*$H10*$N10+$E11*$H11+$E12*$H12+$E13*$H14*$K14+$E14*$H13*$K13+$E15*$H15*$N16+$E16*$H16*$N16+$E18*$H18+$E19*$H19+$E20*$H20+$E21*$H21+$E22*$H22+$E30*$H30+$E31*$H31+$E32*$H32+$E33*$H33+$E34*$H34+$E35*$H35+$E3*F87*F88</f>
        <v>148.03725305748767</v>
      </c>
      <c r="G91" s="1746">
        <f t="shared" ref="G91:Q91" si="30" xml:space="preserve"> $E5 *  $H5  +  $E6 *  $H6   * $K6  +$E7*$H7+$E8*$H8*$K8+$E9*$H9*$K9+$E10*$H10*$N10+$E11*$H11+$E12*$H12+$E13*$H14*$K14+$E14*$H13*$K13+$E15*$H15*$N16+$E16*$H16*$N16+$E18*$H18+$E19*$H19+$E20*$H20+$E21*$H21+$E22*$H22+$E30*$H30+$E31*$H31+$E32*$H32+$E33*$H33+$E34*$H34+$E35*$H35+$E3*G87*G88</f>
        <v>148.03725305748767</v>
      </c>
      <c r="H91" s="1746">
        <f t="shared" si="30"/>
        <v>148.03725305748767</v>
      </c>
      <c r="I91" s="1746">
        <f t="shared" si="30"/>
        <v>148.03725305748767</v>
      </c>
      <c r="J91" s="1746">
        <f t="shared" si="30"/>
        <v>148.03725305748767</v>
      </c>
      <c r="K91" s="1746">
        <f t="shared" si="30"/>
        <v>148.03725305748767</v>
      </c>
      <c r="L91" s="1746">
        <f t="shared" si="30"/>
        <v>148.03725305748767</v>
      </c>
      <c r="M91" s="1746">
        <f t="shared" si="30"/>
        <v>148.03725305748767</v>
      </c>
      <c r="N91" s="1746">
        <f t="shared" si="30"/>
        <v>148.03725305748767</v>
      </c>
      <c r="O91" s="1746">
        <f t="shared" si="30"/>
        <v>148.03725305748767</v>
      </c>
      <c r="P91" s="1746">
        <f t="shared" si="30"/>
        <v>148.03725305748767</v>
      </c>
      <c r="Q91" s="1746">
        <f t="shared" si="30"/>
        <v>148.03725305748767</v>
      </c>
      <c r="R91" s="1746"/>
      <c r="U91" s="1741"/>
      <c r="V91" s="1677"/>
      <c r="W91" s="1677"/>
    </row>
    <row r="92" spans="1:23" ht="12" customHeight="1">
      <c r="A92" s="1666" t="s">
        <v>4299</v>
      </c>
      <c r="B92" s="1672" t="s">
        <v>4300</v>
      </c>
      <c r="C92" s="1733" t="s">
        <v>4301</v>
      </c>
      <c r="D92" s="1698" t="s">
        <v>4201</v>
      </c>
      <c r="F92" s="1735">
        <f t="shared" ref="F92:Q92" si="31">$E41 *  $E42 *  F55  / 365</f>
        <v>1.664657534246575</v>
      </c>
      <c r="G92" s="1735">
        <f t="shared" si="31"/>
        <v>1.5035616438356163</v>
      </c>
      <c r="H92" s="1735">
        <f t="shared" si="31"/>
        <v>1.664657534246575</v>
      </c>
      <c r="I92" s="1735">
        <f t="shared" si="31"/>
        <v>1.6109589041095886</v>
      </c>
      <c r="J92" s="1735">
        <f t="shared" si="31"/>
        <v>1.664657534246575</v>
      </c>
      <c r="K92" s="1735">
        <f t="shared" si="31"/>
        <v>1.6109589041095886</v>
      </c>
      <c r="L92" s="1735">
        <f t="shared" si="31"/>
        <v>1.664657534246575</v>
      </c>
      <c r="M92" s="1735">
        <f t="shared" si="31"/>
        <v>1.664657534246575</v>
      </c>
      <c r="N92" s="1735">
        <f t="shared" si="31"/>
        <v>1.6109589041095886</v>
      </c>
      <c r="O92" s="1735">
        <f t="shared" si="31"/>
        <v>1.664657534246575</v>
      </c>
      <c r="P92" s="1735">
        <f t="shared" si="31"/>
        <v>1.6109589041095886</v>
      </c>
      <c r="Q92" s="1735">
        <f t="shared" si="31"/>
        <v>1.664657534246575</v>
      </c>
      <c r="R92" s="1735"/>
      <c r="U92" s="1736"/>
      <c r="V92" s="1672"/>
    </row>
    <row r="93" spans="1:23" ht="12" customHeight="1">
      <c r="B93" s="1672" t="s">
        <v>4302</v>
      </c>
      <c r="C93" s="1733" t="s">
        <v>4303</v>
      </c>
      <c r="D93" s="1698" t="s">
        <v>4201</v>
      </c>
      <c r="F93" s="1735">
        <f t="shared" ref="F93:Q93" si="32" xml:space="preserve"> $E39 *  $E40 *  F55  / ( $E38 * 1000)</f>
        <v>0.65100000000000002</v>
      </c>
      <c r="G93" s="1735">
        <f t="shared" si="32"/>
        <v>0.58799999999999997</v>
      </c>
      <c r="H93" s="1735">
        <f t="shared" si="32"/>
        <v>0.65100000000000002</v>
      </c>
      <c r="I93" s="1735">
        <f t="shared" si="32"/>
        <v>0.63</v>
      </c>
      <c r="J93" s="1735">
        <f t="shared" si="32"/>
        <v>0.65100000000000002</v>
      </c>
      <c r="K93" s="1735">
        <f t="shared" si="32"/>
        <v>0.63</v>
      </c>
      <c r="L93" s="1735">
        <f t="shared" si="32"/>
        <v>0.65100000000000002</v>
      </c>
      <c r="M93" s="1735">
        <f t="shared" si="32"/>
        <v>0.65100000000000002</v>
      </c>
      <c r="N93" s="1735">
        <f t="shared" si="32"/>
        <v>0.63</v>
      </c>
      <c r="O93" s="1735">
        <f t="shared" si="32"/>
        <v>0.65100000000000002</v>
      </c>
      <c r="P93" s="1735">
        <f t="shared" si="32"/>
        <v>0.63</v>
      </c>
      <c r="Q93" s="1735">
        <f t="shared" si="32"/>
        <v>0.65100000000000002</v>
      </c>
      <c r="R93" s="1735"/>
      <c r="U93" s="1736"/>
      <c r="V93" s="1672"/>
    </row>
    <row r="94" spans="1:23" ht="12" customHeight="1">
      <c r="B94" s="1672" t="s">
        <v>4304</v>
      </c>
      <c r="C94" s="1733" t="s">
        <v>4305</v>
      </c>
      <c r="D94" s="1698" t="s">
        <v>4201</v>
      </c>
      <c r="F94" s="1735">
        <f>F92  +  F93</f>
        <v>2.3156575342465748</v>
      </c>
      <c r="G94" s="1735">
        <f t="shared" ref="G94:Q94" si="33">G92  +  G93</f>
        <v>2.0915616438356164</v>
      </c>
      <c r="H94" s="1735">
        <f t="shared" si="33"/>
        <v>2.3156575342465748</v>
      </c>
      <c r="I94" s="1735">
        <f t="shared" si="33"/>
        <v>2.2409589041095885</v>
      </c>
      <c r="J94" s="1735">
        <f t="shared" si="33"/>
        <v>2.3156575342465748</v>
      </c>
      <c r="K94" s="1735">
        <f t="shared" si="33"/>
        <v>2.2409589041095885</v>
      </c>
      <c r="L94" s="1735">
        <f t="shared" si="33"/>
        <v>2.3156575342465748</v>
      </c>
      <c r="M94" s="1735">
        <f t="shared" si="33"/>
        <v>2.3156575342465748</v>
      </c>
      <c r="N94" s="1735">
        <f t="shared" si="33"/>
        <v>2.2409589041095885</v>
      </c>
      <c r="O94" s="1735">
        <f t="shared" si="33"/>
        <v>2.3156575342465748</v>
      </c>
      <c r="P94" s="1735">
        <f t="shared" si="33"/>
        <v>2.2409589041095885</v>
      </c>
      <c r="Q94" s="1735">
        <f t="shared" si="33"/>
        <v>2.3156575342465748</v>
      </c>
      <c r="R94" s="1735"/>
      <c r="U94" s="1736"/>
      <c r="V94" s="1672"/>
    </row>
    <row r="95" spans="1:23" ht="12" customHeight="1">
      <c r="B95" s="1672" t="s">
        <v>4306</v>
      </c>
      <c r="C95" s="1733" t="s">
        <v>4307</v>
      </c>
      <c r="D95" s="1698" t="s">
        <v>4201</v>
      </c>
      <c r="F95" s="1735">
        <f t="shared" ref="F95:Q95" si="34">F57 *  $E18 * 0.9 * $E23 * $E24 *  $E25  /  $E3</f>
        <v>0</v>
      </c>
      <c r="G95" s="1735">
        <f t="shared" si="34"/>
        <v>0</v>
      </c>
      <c r="H95" s="1735">
        <f t="shared" si="34"/>
        <v>0</v>
      </c>
      <c r="I95" s="1735">
        <f t="shared" si="34"/>
        <v>0</v>
      </c>
      <c r="J95" s="1735">
        <f t="shared" si="34"/>
        <v>0</v>
      </c>
      <c r="K95" s="1735">
        <f t="shared" si="34"/>
        <v>0</v>
      </c>
      <c r="L95" s="1735">
        <f t="shared" si="34"/>
        <v>0</v>
      </c>
      <c r="M95" s="1735">
        <f t="shared" si="34"/>
        <v>0</v>
      </c>
      <c r="N95" s="1735">
        <f t="shared" si="34"/>
        <v>0</v>
      </c>
      <c r="O95" s="1735">
        <f t="shared" si="34"/>
        <v>0</v>
      </c>
      <c r="P95" s="1735">
        <f t="shared" si="34"/>
        <v>0</v>
      </c>
      <c r="Q95" s="1735">
        <f t="shared" si="34"/>
        <v>0</v>
      </c>
      <c r="R95" s="1734"/>
      <c r="U95" s="1736"/>
      <c r="V95" s="1672"/>
    </row>
    <row r="96" spans="1:23" ht="12" customHeight="1">
      <c r="B96" s="1672" t="s">
        <v>4308</v>
      </c>
      <c r="C96" s="1733" t="s">
        <v>4309</v>
      </c>
      <c r="D96" s="1698" t="s">
        <v>4201</v>
      </c>
      <c r="F96" s="1735">
        <f t="shared" ref="F96:Q96" si="35" xml:space="preserve"> F58 *  $E19 * 0.9 * $E23 *  $E24 *  $E26  /  $E3</f>
        <v>0.36439874999999999</v>
      </c>
      <c r="G96" s="1735">
        <f t="shared" si="35"/>
        <v>0.56360339999999998</v>
      </c>
      <c r="H96" s="1735">
        <f t="shared" si="35"/>
        <v>0.99116460000000006</v>
      </c>
      <c r="I96" s="1735">
        <f t="shared" si="35"/>
        <v>1.1855106000000002</v>
      </c>
      <c r="J96" s="1735">
        <f t="shared" si="35"/>
        <v>1.4818882499999999</v>
      </c>
      <c r="K96" s="1735">
        <f t="shared" si="35"/>
        <v>1.5984958499999997</v>
      </c>
      <c r="L96" s="1735">
        <f t="shared" si="35"/>
        <v>1.6908101999999996</v>
      </c>
      <c r="M96" s="1735">
        <f t="shared" si="35"/>
        <v>1.5353333999999996</v>
      </c>
      <c r="N96" s="1735">
        <f t="shared" si="35"/>
        <v>1.0348924499999999</v>
      </c>
      <c r="O96" s="1735">
        <f t="shared" si="35"/>
        <v>0.61218989999999995</v>
      </c>
      <c r="P96" s="1735">
        <f t="shared" si="35"/>
        <v>0.32552955</v>
      </c>
      <c r="Q96" s="1735">
        <f t="shared" si="35"/>
        <v>0.26236709999999996</v>
      </c>
      <c r="R96" s="1734"/>
      <c r="U96" s="1736"/>
      <c r="V96" s="1672"/>
    </row>
    <row r="97" spans="1:22" ht="12" customHeight="1">
      <c r="B97" s="1672" t="s">
        <v>4310</v>
      </c>
      <c r="C97" s="1733" t="s">
        <v>4311</v>
      </c>
      <c r="D97" s="1698" t="s">
        <v>4201</v>
      </c>
      <c r="F97" s="1735">
        <f t="shared" ref="F97:Q97" si="36">F59 *  $E20 * 0.9 * $E23 *  $E24 *  $E27  /  $E3</f>
        <v>1.1255598</v>
      </c>
      <c r="G97" s="1735">
        <f t="shared" si="36"/>
        <v>1.4111496000000003</v>
      </c>
      <c r="H97" s="1735">
        <f t="shared" si="36"/>
        <v>1.8871325999999999</v>
      </c>
      <c r="I97" s="1735">
        <f t="shared" si="36"/>
        <v>1.5959430000000001</v>
      </c>
      <c r="J97" s="1735">
        <f t="shared" si="36"/>
        <v>1.5903432</v>
      </c>
      <c r="K97" s="1735">
        <f t="shared" si="36"/>
        <v>1.5119460000000002</v>
      </c>
      <c r="L97" s="1735">
        <f t="shared" si="36"/>
        <v>1.7079390000000001</v>
      </c>
      <c r="M97" s="1735">
        <f t="shared" si="36"/>
        <v>1.9207314</v>
      </c>
      <c r="N97" s="1735">
        <f t="shared" si="36"/>
        <v>1.8143351999999999</v>
      </c>
      <c r="O97" s="1735">
        <f t="shared" si="36"/>
        <v>1.5175458000000002</v>
      </c>
      <c r="P97" s="1735">
        <f t="shared" si="36"/>
        <v>1.0023642000000001</v>
      </c>
      <c r="Q97" s="1735">
        <f t="shared" si="36"/>
        <v>0.8567693999999999</v>
      </c>
      <c r="R97" s="1734"/>
      <c r="U97" s="1736"/>
      <c r="V97" s="1672"/>
    </row>
    <row r="98" spans="1:22" ht="12" customHeight="1">
      <c r="B98" s="1672" t="s">
        <v>4312</v>
      </c>
      <c r="C98" s="1733" t="s">
        <v>4313</v>
      </c>
      <c r="D98" s="1698" t="s">
        <v>4201</v>
      </c>
      <c r="F98" s="1735">
        <f xml:space="preserve"> F60 *  $E21 * 0.9 * $E23 *  $E24 *  $E28  /  $E3</f>
        <v>0.49278239999999995</v>
      </c>
      <c r="G98" s="1735">
        <f t="shared" ref="G98:Q98" si="37" xml:space="preserve"> G60 *  $E21 * 0.9 * $E23 *  $E24 *  $E28  /  $E3</f>
        <v>0.70557480000000017</v>
      </c>
      <c r="H98" s="1735">
        <f t="shared" si="37"/>
        <v>1.1423592000000002</v>
      </c>
      <c r="I98" s="1735">
        <f t="shared" si="37"/>
        <v>1.2767544000000002</v>
      </c>
      <c r="J98" s="1735">
        <f t="shared" si="37"/>
        <v>1.5735438000000004</v>
      </c>
      <c r="K98" s="1735">
        <f t="shared" si="37"/>
        <v>1.7135387999999998</v>
      </c>
      <c r="L98" s="1735">
        <f t="shared" si="37"/>
        <v>1.8591335999999998</v>
      </c>
      <c r="M98" s="1735">
        <f t="shared" si="37"/>
        <v>1.6631406000000006</v>
      </c>
      <c r="N98" s="1735">
        <f t="shared" si="37"/>
        <v>1.2319560000000001</v>
      </c>
      <c r="O98" s="1735">
        <f t="shared" si="37"/>
        <v>0.811971</v>
      </c>
      <c r="P98" s="1735">
        <f t="shared" si="37"/>
        <v>0.44798400000000005</v>
      </c>
      <c r="Q98" s="1735">
        <f t="shared" si="37"/>
        <v>0.35838720000000002</v>
      </c>
      <c r="R98" s="1734"/>
      <c r="U98" s="1736"/>
      <c r="V98" s="1672"/>
    </row>
    <row r="99" spans="1:22" ht="12" customHeight="1">
      <c r="B99" s="1672" t="s">
        <v>4314</v>
      </c>
      <c r="C99" s="1733" t="s">
        <v>4315</v>
      </c>
      <c r="D99" s="1698" t="s">
        <v>4201</v>
      </c>
      <c r="F99" s="1735">
        <f t="shared" ref="F99:Q99" si="38" xml:space="preserve"> F61 *  $E22 * 0.9 * $E23 *  $E24 *  $E29  /  $E3</f>
        <v>0.37156319999999993</v>
      </c>
      <c r="G99" s="1735">
        <f t="shared" si="38"/>
        <v>0.50315849999999995</v>
      </c>
      <c r="H99" s="1735">
        <f t="shared" si="38"/>
        <v>0.76634910000000001</v>
      </c>
      <c r="I99" s="1735">
        <f t="shared" si="38"/>
        <v>0.92116709999999991</v>
      </c>
      <c r="J99" s="1735">
        <f t="shared" si="38"/>
        <v>1.2462848999999998</v>
      </c>
      <c r="K99" s="1735">
        <f t="shared" si="38"/>
        <v>1.4011028999999997</v>
      </c>
      <c r="L99" s="1735">
        <f t="shared" si="38"/>
        <v>1.4088437999999999</v>
      </c>
      <c r="M99" s="1735">
        <f t="shared" si="38"/>
        <v>1.1224304999999999</v>
      </c>
      <c r="N99" s="1735">
        <f t="shared" si="38"/>
        <v>0.75860819999999995</v>
      </c>
      <c r="O99" s="1735">
        <f t="shared" si="38"/>
        <v>0.51864030000000005</v>
      </c>
      <c r="P99" s="1735">
        <f t="shared" si="38"/>
        <v>0.31737689999999991</v>
      </c>
      <c r="Q99" s="1735">
        <f t="shared" si="38"/>
        <v>0.27093149999999999</v>
      </c>
      <c r="R99" s="1734"/>
      <c r="U99" s="1736"/>
      <c r="V99" s="1672"/>
    </row>
    <row r="100" spans="1:22" ht="12" customHeight="1">
      <c r="B100" s="1672" t="s">
        <v>4316</v>
      </c>
      <c r="C100" s="1733" t="s">
        <v>4317</v>
      </c>
      <c r="D100" s="1698" t="s">
        <v>4201</v>
      </c>
      <c r="F100" s="1735">
        <f xml:space="preserve"> F95  +  F96  +  F97  +  F98  +  F99</f>
        <v>2.3543041499999995</v>
      </c>
      <c r="G100" s="1735">
        <f t="shared" ref="G100:Q100" si="39" xml:space="preserve"> G95  +  G96  +  G97  +  G98  +  G99</f>
        <v>3.1834863000000007</v>
      </c>
      <c r="H100" s="1735">
        <f t="shared" si="39"/>
        <v>4.7870055000000002</v>
      </c>
      <c r="I100" s="1735">
        <f t="shared" si="39"/>
        <v>4.9793751000000004</v>
      </c>
      <c r="J100" s="1735">
        <f t="shared" si="39"/>
        <v>5.8920601499999998</v>
      </c>
      <c r="K100" s="1735">
        <f t="shared" si="39"/>
        <v>6.225083549999999</v>
      </c>
      <c r="L100" s="1735">
        <f t="shared" si="39"/>
        <v>6.6667265999999987</v>
      </c>
      <c r="M100" s="1735">
        <f t="shared" si="39"/>
        <v>6.2416359000000003</v>
      </c>
      <c r="N100" s="1735">
        <f t="shared" si="39"/>
        <v>4.8397918500000001</v>
      </c>
      <c r="O100" s="1735">
        <f t="shared" si="39"/>
        <v>3.4603470000000001</v>
      </c>
      <c r="P100" s="1735">
        <f t="shared" si="39"/>
        <v>2.09325465</v>
      </c>
      <c r="Q100" s="1735">
        <f t="shared" si="39"/>
        <v>1.7484552</v>
      </c>
      <c r="R100" s="1734"/>
      <c r="U100" s="1736"/>
      <c r="V100" s="1672"/>
    </row>
    <row r="101" spans="1:22" ht="12" customHeight="1">
      <c r="B101" s="1672" t="s">
        <v>4318</v>
      </c>
      <c r="C101" s="1733" t="s">
        <v>4319</v>
      </c>
      <c r="D101" s="1698" t="s">
        <v>4201</v>
      </c>
      <c r="F101" s="1735">
        <f xml:space="preserve"> F94  +  F100</f>
        <v>4.6699616842465748</v>
      </c>
      <c r="G101" s="1735">
        <f t="shared" ref="G101:Q101" si="40" xml:space="preserve"> G94  +  G100</f>
        <v>5.2750479438356166</v>
      </c>
      <c r="H101" s="1735">
        <f t="shared" si="40"/>
        <v>7.1026630342465751</v>
      </c>
      <c r="I101" s="1735">
        <f t="shared" si="40"/>
        <v>7.2203340041095885</v>
      </c>
      <c r="J101" s="1735">
        <f t="shared" si="40"/>
        <v>8.2077176842465747</v>
      </c>
      <c r="K101" s="1735">
        <f t="shared" si="40"/>
        <v>8.4660424541095871</v>
      </c>
      <c r="L101" s="1735">
        <f t="shared" si="40"/>
        <v>8.9823841342465727</v>
      </c>
      <c r="M101" s="1735">
        <f t="shared" si="40"/>
        <v>8.5572934342465743</v>
      </c>
      <c r="N101" s="1735">
        <f t="shared" si="40"/>
        <v>7.0807507541095891</v>
      </c>
      <c r="O101" s="1735">
        <f t="shared" si="40"/>
        <v>5.7760045342465745</v>
      </c>
      <c r="P101" s="1735">
        <f t="shared" si="40"/>
        <v>4.3342135541095885</v>
      </c>
      <c r="Q101" s="1735">
        <f t="shared" si="40"/>
        <v>4.0641127342465744</v>
      </c>
      <c r="R101" s="1734"/>
      <c r="U101" s="1736"/>
      <c r="V101" s="1672"/>
    </row>
    <row r="102" spans="1:22" ht="12" customHeight="1">
      <c r="B102" s="1683" t="s">
        <v>4320</v>
      </c>
      <c r="C102" s="1747" t="s">
        <v>4321</v>
      </c>
      <c r="D102" s="1350"/>
      <c r="F102" s="1735">
        <f xml:space="preserve"> F101  /  F90</f>
        <v>0.34688815995235539</v>
      </c>
      <c r="G102" s="1735">
        <f t="shared" ref="G102:Q102" si="41" xml:space="preserve"> G101  /  G90</f>
        <v>0.46629491982588323</v>
      </c>
      <c r="H102" s="1735">
        <f t="shared" si="41"/>
        <v>0.72139992582164325</v>
      </c>
      <c r="I102" s="1735">
        <f t="shared" si="41"/>
        <v>0.93610158910409758</v>
      </c>
      <c r="J102" s="1735">
        <f t="shared" si="41"/>
        <v>1.8021283299463373</v>
      </c>
      <c r="K102" s="1735">
        <f t="shared" si="41"/>
        <v>3.3491028965833851</v>
      </c>
      <c r="L102" s="1735">
        <f xml:space="preserve"> L101  /  L90</f>
        <v>8.3819266879616929</v>
      </c>
      <c r="M102" s="1735">
        <f t="shared" si="41"/>
        <v>7.98525259454928</v>
      </c>
      <c r="N102" s="1735">
        <f t="shared" si="41"/>
        <v>1.7908620281816594</v>
      </c>
      <c r="O102" s="1735">
        <f t="shared" si="41"/>
        <v>0.8292135744092185</v>
      </c>
      <c r="P102" s="1735">
        <f t="shared" si="41"/>
        <v>0.41533361852161593</v>
      </c>
      <c r="Q102" s="1735">
        <f t="shared" si="41"/>
        <v>0.32276030251008142</v>
      </c>
      <c r="R102" s="1734"/>
      <c r="U102" s="1736"/>
      <c r="V102" s="1672"/>
    </row>
    <row r="103" spans="1:22" ht="12" customHeight="1">
      <c r="B103" s="1672" t="s">
        <v>4322</v>
      </c>
      <c r="C103" s="1747" t="s">
        <v>4323</v>
      </c>
      <c r="D103" s="1698" t="s">
        <v>4220</v>
      </c>
      <c r="F103" s="1735">
        <f xml:space="preserve"> $E47 *  $E3 * 1000 /  F91</f>
        <v>162.12135462065092</v>
      </c>
      <c r="G103" s="1735">
        <f t="shared" ref="G103:Q103" si="42" xml:space="preserve"> $E47 *  $E3 * 1000 /  G91</f>
        <v>162.12135462065092</v>
      </c>
      <c r="H103" s="1735">
        <f t="shared" si="42"/>
        <v>162.12135462065092</v>
      </c>
      <c r="I103" s="1735">
        <f t="shared" si="42"/>
        <v>162.12135462065092</v>
      </c>
      <c r="J103" s="1735">
        <f t="shared" si="42"/>
        <v>162.12135462065092</v>
      </c>
      <c r="K103" s="1735">
        <f t="shared" si="42"/>
        <v>162.12135462065092</v>
      </c>
      <c r="L103" s="1735">
        <f t="shared" si="42"/>
        <v>162.12135462065092</v>
      </c>
      <c r="M103" s="1735">
        <f t="shared" si="42"/>
        <v>162.12135462065092</v>
      </c>
      <c r="N103" s="1735">
        <f t="shared" si="42"/>
        <v>162.12135462065092</v>
      </c>
      <c r="O103" s="1735">
        <f t="shared" si="42"/>
        <v>162.12135462065092</v>
      </c>
      <c r="P103" s="1735">
        <f t="shared" si="42"/>
        <v>162.12135462065092</v>
      </c>
      <c r="Q103" s="1735">
        <f t="shared" si="42"/>
        <v>162.12135462065092</v>
      </c>
      <c r="R103" s="1735"/>
      <c r="U103" s="1736"/>
      <c r="V103" s="1672"/>
    </row>
    <row r="104" spans="1:22" ht="12" customHeight="1">
      <c r="B104" s="1672" t="s">
        <v>4324</v>
      </c>
      <c r="C104" s="1748" t="s">
        <v>4325</v>
      </c>
      <c r="D104" s="1726"/>
      <c r="F104" s="1723">
        <f xml:space="preserve"> $E48  + ( F103  /  $E49 )</f>
        <v>11.808090308043395</v>
      </c>
      <c r="G104" s="1723">
        <f t="shared" ref="G104:Q104" si="43" xml:space="preserve"> $E48  + ( G103  /  $E49 )</f>
        <v>11.808090308043395</v>
      </c>
      <c r="H104" s="1723">
        <f t="shared" si="43"/>
        <v>11.808090308043395</v>
      </c>
      <c r="I104" s="1723">
        <f t="shared" si="43"/>
        <v>11.808090308043395</v>
      </c>
      <c r="J104" s="1723">
        <f t="shared" si="43"/>
        <v>11.808090308043395</v>
      </c>
      <c r="K104" s="1723">
        <f t="shared" si="43"/>
        <v>11.808090308043395</v>
      </c>
      <c r="L104" s="1723">
        <f t="shared" si="43"/>
        <v>11.808090308043395</v>
      </c>
      <c r="M104" s="1723">
        <f t="shared" si="43"/>
        <v>11.808090308043395</v>
      </c>
      <c r="N104" s="1723">
        <f t="shared" si="43"/>
        <v>11.808090308043395</v>
      </c>
      <c r="O104" s="1723">
        <f t="shared" si="43"/>
        <v>11.808090308043395</v>
      </c>
      <c r="P104" s="1723">
        <f t="shared" si="43"/>
        <v>11.808090308043395</v>
      </c>
      <c r="Q104" s="1723">
        <f t="shared" si="43"/>
        <v>11.808090308043395</v>
      </c>
      <c r="R104" s="1735"/>
      <c r="U104" s="1736"/>
      <c r="V104" s="1672"/>
    </row>
    <row r="105" spans="1:22" ht="12" customHeight="1">
      <c r="B105" s="1672" t="s">
        <v>4326</v>
      </c>
      <c r="C105" s="1733" t="s">
        <v>4327</v>
      </c>
      <c r="D105" s="1350"/>
      <c r="F105" s="1689">
        <f>IF(F102=1,F104/(F104+1),(1-F102^F104)/(1-F102^(F104+1)))</f>
        <v>0.99999757057255445</v>
      </c>
      <c r="G105" s="1689">
        <f t="shared" ref="G105:Q105" si="44">IF(G102=1,G104/(G104+1),(1-G102^G104)/(1-G102^(G104+1)))</f>
        <v>0.99993471077058627</v>
      </c>
      <c r="H105" s="1689">
        <f t="shared" si="44"/>
        <v>0.99401602999710348</v>
      </c>
      <c r="I105" s="1689">
        <f t="shared" si="44"/>
        <v>0.94866456956221668</v>
      </c>
      <c r="J105" s="1689">
        <f t="shared" si="44"/>
        <v>0.55466362970545158</v>
      </c>
      <c r="K105" s="1689">
        <f t="shared" si="44"/>
        <v>0.29858728939868834</v>
      </c>
      <c r="L105" s="1689">
        <f t="shared" si="44"/>
        <v>0.11930431238741439</v>
      </c>
      <c r="M105" s="1689">
        <f t="shared" si="44"/>
        <v>0.12523085376951079</v>
      </c>
      <c r="N105" s="1689">
        <f t="shared" si="44"/>
        <v>0.55813676898642184</v>
      </c>
      <c r="O105" s="1689">
        <f t="shared" si="44"/>
        <v>0.97942129446358794</v>
      </c>
      <c r="P105" s="1689">
        <f t="shared" si="44"/>
        <v>0.999981764735138</v>
      </c>
      <c r="Q105" s="1689">
        <f t="shared" si="44"/>
        <v>0.99999892463805939</v>
      </c>
      <c r="U105" s="1736"/>
      <c r="V105" s="1682"/>
    </row>
    <row r="106" spans="1:22" ht="12" customHeight="1">
      <c r="B106" s="1672" t="s">
        <v>4328</v>
      </c>
      <c r="C106" s="1733" t="s">
        <v>4329</v>
      </c>
      <c r="D106" s="1698" t="s">
        <v>4201</v>
      </c>
      <c r="F106" s="1735">
        <f xml:space="preserve"> F101 *  F105</f>
        <v>4.6699503389134893</v>
      </c>
      <c r="G106" s="1735">
        <f t="shared" ref="G106:Q106" si="45" xml:space="preserve"> G101 *  G105</f>
        <v>5.2747035400202433</v>
      </c>
      <c r="H106" s="1735">
        <f t="shared" si="45"/>
        <v>7.0601609117089614</v>
      </c>
      <c r="I106" s="1735">
        <f t="shared" si="45"/>
        <v>6.8496750501040591</v>
      </c>
      <c r="J106" s="1735">
        <f t="shared" si="45"/>
        <v>4.5525224823418284</v>
      </c>
      <c r="K106" s="1735">
        <f t="shared" si="45"/>
        <v>2.5278526683068008</v>
      </c>
      <c r="L106" s="1735">
        <f t="shared" si="45"/>
        <v>1.0716371627359078</v>
      </c>
      <c r="M106" s="1735">
        <f t="shared" si="45"/>
        <v>1.0716371627269277</v>
      </c>
      <c r="N106" s="1735">
        <f t="shared" si="45"/>
        <v>3.9520273478968959</v>
      </c>
      <c r="O106" s="1735">
        <f t="shared" si="45"/>
        <v>5.6571418377593332</v>
      </c>
      <c r="P106" s="1735">
        <f t="shared" si="45"/>
        <v>4.3341345185774607</v>
      </c>
      <c r="Q106" s="1735">
        <f t="shared" si="45"/>
        <v>4.0641083638544178</v>
      </c>
      <c r="R106" s="1735"/>
      <c r="U106" s="1736"/>
      <c r="V106" s="1672"/>
    </row>
    <row r="107" spans="1:22" s="1681" customFormat="1" ht="12" customHeight="1">
      <c r="B107" s="1677" t="s">
        <v>4330</v>
      </c>
      <c r="C107" s="1749" t="s">
        <v>4331</v>
      </c>
      <c r="D107" s="1731"/>
      <c r="E107" s="1725"/>
      <c r="F107" s="1750">
        <f xml:space="preserve"> F106  /  F90</f>
        <v>0.34688731721273902</v>
      </c>
      <c r="G107" s="1750">
        <f t="shared" ref="G107:Q107" si="46" xml:space="preserve"> G106  /  G90</f>
        <v>0.46626447578988828</v>
      </c>
      <c r="H107" s="1750">
        <f t="shared" si="46"/>
        <v>0.71708309030543482</v>
      </c>
      <c r="I107" s="1750">
        <f t="shared" si="46"/>
        <v>0.88804641109394566</v>
      </c>
      <c r="J107" s="1750">
        <f t="shared" si="46"/>
        <v>0.99957504068305902</v>
      </c>
      <c r="K107" s="1750">
        <f t="shared" si="46"/>
        <v>0.99999955580812849</v>
      </c>
      <c r="L107" s="1750">
        <f t="shared" si="46"/>
        <v>0.99999999998898748</v>
      </c>
      <c r="M107" s="1750">
        <f t="shared" si="46"/>
        <v>0.99999999998060762</v>
      </c>
      <c r="N107" s="1750">
        <f t="shared" si="46"/>
        <v>0.99954594610978176</v>
      </c>
      <c r="O107" s="1750">
        <f t="shared" si="46"/>
        <v>0.81214943243465543</v>
      </c>
      <c r="P107" s="1750">
        <f t="shared" si="46"/>
        <v>0.41532604480307606</v>
      </c>
      <c r="Q107" s="1750">
        <f t="shared" si="46"/>
        <v>0.32275995542593616</v>
      </c>
      <c r="R107" s="1751"/>
      <c r="U107" s="1741"/>
      <c r="V107" s="1677"/>
    </row>
    <row r="108" spans="1:22" s="1757" customFormat="1" ht="16.5" thickBot="1">
      <c r="A108" s="1752" t="s">
        <v>4332</v>
      </c>
      <c r="B108" s="1753" t="s">
        <v>4333</v>
      </c>
      <c r="C108" s="1754" t="s">
        <v>4334</v>
      </c>
      <c r="D108" s="1754" t="s">
        <v>4288</v>
      </c>
      <c r="E108" s="1755">
        <f>SUM(F108:Q108)</f>
        <v>34.420723520100665</v>
      </c>
      <c r="F108" s="1756">
        <f t="shared" ref="F108:Q108" si="47" xml:space="preserve">   F90  -  F106</f>
        <v>8.7924915181045993</v>
      </c>
      <c r="G108" s="1756">
        <f t="shared" si="47"/>
        <v>6.0379823151148395</v>
      </c>
      <c r="H108" s="1756">
        <f t="shared" si="47"/>
        <v>2.7855055210356072</v>
      </c>
      <c r="I108" s="1756">
        <f t="shared" si="47"/>
        <v>0.86351985112440577</v>
      </c>
      <c r="J108" s="1756">
        <f t="shared" si="47"/>
        <v>1.9354593359315331E-3</v>
      </c>
      <c r="K108" s="1756">
        <f t="shared" si="47"/>
        <v>1.122852106405503E-6</v>
      </c>
      <c r="L108" s="1756">
        <f xml:space="preserve">  IF(L90=0,0,L90  -  L106)</f>
        <v>1.1801448707160489E-11</v>
      </c>
      <c r="M108" s="1756">
        <f xml:space="preserve">  IF(M90=0,0,M90  -  M106)</f>
        <v>2.078159866414353E-11</v>
      </c>
      <c r="N108" s="1756">
        <f t="shared" si="47"/>
        <v>1.7952485311409916E-3</v>
      </c>
      <c r="O108" s="1756">
        <f t="shared" si="47"/>
        <v>1.3084997201007713</v>
      </c>
      <c r="P108" s="1756">
        <f t="shared" si="47"/>
        <v>6.1013644654375199</v>
      </c>
      <c r="Q108" s="1756">
        <f t="shared" si="47"/>
        <v>8.5276282984311553</v>
      </c>
      <c r="T108" s="1754"/>
      <c r="U108" s="1758"/>
      <c r="V108" s="1754"/>
    </row>
    <row r="109" spans="1:22" ht="12" customHeight="1" thickTop="1">
      <c r="A109" s="1682"/>
      <c r="B109" s="1682"/>
      <c r="C109" s="1682"/>
      <c r="D109" s="1682"/>
      <c r="S109" s="1682"/>
      <c r="T109" s="1682"/>
      <c r="U109" s="1682"/>
    </row>
    <row r="118" spans="20:20" ht="12" customHeight="1">
      <c r="T118" s="174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53EC-D4F1-4F0C-A8D4-8C741D977D6C}">
  <dimension ref="A2:G15"/>
  <sheetViews>
    <sheetView workbookViewId="0"/>
  </sheetViews>
  <sheetFormatPr baseColWidth="10" defaultRowHeight="15.75"/>
  <cols>
    <col min="1" max="1" width="24.75" bestFit="1" customWidth="1"/>
    <col min="2" max="2" width="24.75" customWidth="1"/>
  </cols>
  <sheetData>
    <row r="2" spans="1:7">
      <c r="D2" t="s">
        <v>4432</v>
      </c>
      <c r="E2" t="s">
        <v>4433</v>
      </c>
      <c r="G2" t="s">
        <v>4435</v>
      </c>
    </row>
    <row r="3" spans="1:7">
      <c r="A3" t="s">
        <v>4425</v>
      </c>
      <c r="B3" t="str">
        <f>Installations!A16</f>
        <v>Pompe à chaleur air-eau 7 kW</v>
      </c>
      <c r="C3">
        <v>7</v>
      </c>
      <c r="D3">
        <v>255.7</v>
      </c>
      <c r="E3">
        <v>1.75</v>
      </c>
      <c r="G3">
        <v>3180</v>
      </c>
    </row>
    <row r="4" spans="1:7">
      <c r="A4" t="s">
        <v>4427</v>
      </c>
      <c r="B4" t="str">
        <f>Installations!A20</f>
        <v>Pompe à chaleur air-eau 15 kW</v>
      </c>
      <c r="C4">
        <v>15</v>
      </c>
      <c r="D4">
        <v>270.2</v>
      </c>
      <c r="E4">
        <v>2.25</v>
      </c>
      <c r="G4">
        <v>3790</v>
      </c>
    </row>
    <row r="5" spans="1:7">
      <c r="A5" t="s">
        <v>4428</v>
      </c>
      <c r="B5" t="str">
        <f>Installations!A24</f>
        <v>Pompe à chaleur air-eau 50 kW</v>
      </c>
      <c r="C5">
        <v>50</v>
      </c>
      <c r="D5">
        <v>776.1</v>
      </c>
      <c r="E5">
        <v>10</v>
      </c>
      <c r="G5">
        <v>14000</v>
      </c>
    </row>
    <row r="6" spans="1:7">
      <c r="A6" t="s">
        <v>4426</v>
      </c>
      <c r="B6" t="str">
        <f>Installations!A14</f>
        <v>Pompe à chaleur saumure-eau 7 kW</v>
      </c>
      <c r="C6">
        <v>7</v>
      </c>
      <c r="D6">
        <v>155.30000000000001</v>
      </c>
      <c r="E6">
        <v>1</v>
      </c>
      <c r="G6">
        <v>1930</v>
      </c>
    </row>
    <row r="7" spans="1:7">
      <c r="A7" t="s">
        <v>4429</v>
      </c>
      <c r="B7" t="str">
        <f>Installations!A18</f>
        <v>Pompe à chaleur saumure-eau 15 kW</v>
      </c>
      <c r="C7">
        <v>15</v>
      </c>
      <c r="D7">
        <v>178.3</v>
      </c>
      <c r="E7">
        <v>1.4</v>
      </c>
      <c r="G7">
        <v>2510</v>
      </c>
    </row>
    <row r="8" spans="1:7">
      <c r="A8" t="s">
        <v>4430</v>
      </c>
      <c r="B8" t="str">
        <f>Installations!A22</f>
        <v>Pompe à chaleur saumure-eau 50 kW</v>
      </c>
      <c r="C8">
        <v>50</v>
      </c>
      <c r="D8">
        <v>374.1</v>
      </c>
      <c r="E8">
        <v>4.8</v>
      </c>
      <c r="G8">
        <v>7080</v>
      </c>
    </row>
    <row r="14" spans="1:7">
      <c r="A14" t="s">
        <v>4434</v>
      </c>
    </row>
    <row r="15" spans="1:7">
      <c r="A15">
        <v>3860</v>
      </c>
      <c r="B15" t="s">
        <v>4431</v>
      </c>
      <c r="F15">
        <f>2/100*E3*A15</f>
        <v>135.10000000000002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EEE8-FBC2-4269-953D-CCAA230768BE}">
  <sheetPr codeName="Feuil9">
    <pageSetUpPr autoPageBreaks="0"/>
  </sheetPr>
  <dimension ref="A1:AA81"/>
  <sheetViews>
    <sheetView workbookViewId="0"/>
  </sheetViews>
  <sheetFormatPr baseColWidth="10" defaultColWidth="11" defaultRowHeight="15.75"/>
  <cols>
    <col min="1" max="1" width="36.75" customWidth="1"/>
    <col min="2" max="2" width="32.25" customWidth="1"/>
    <col min="3" max="3" width="44" bestFit="1" customWidth="1"/>
    <col min="4" max="4" width="20.25" customWidth="1"/>
    <col min="5" max="5" width="11.25" bestFit="1" customWidth="1"/>
    <col min="6" max="6" width="17.75" bestFit="1" customWidth="1"/>
    <col min="7" max="7" width="22.125" bestFit="1" customWidth="1"/>
    <col min="8" max="9" width="26.75" bestFit="1" customWidth="1"/>
  </cols>
  <sheetData>
    <row r="1" spans="1:17" ht="18" customHeight="1" thickBot="1">
      <c r="B1" t="str">
        <f>Décomposition!B2</f>
        <v>Partie de batiment</v>
      </c>
      <c r="C1" t="str">
        <f>Décomposition!C2</f>
        <v>eCCC-Bat</v>
      </c>
      <c r="D1" t="s">
        <v>260</v>
      </c>
      <c r="E1" t="s">
        <v>261</v>
      </c>
      <c r="F1" s="253" t="s">
        <v>46</v>
      </c>
      <c r="G1" s="808" t="s">
        <v>262</v>
      </c>
      <c r="H1" s="277" t="s">
        <v>263</v>
      </c>
    </row>
    <row r="2" spans="1:17">
      <c r="A2" s="176" t="str">
        <f>Décomposition!C4</f>
        <v>B06 / B07.02</v>
      </c>
      <c r="B2" s="675" t="str">
        <f>'Outil détaillé'!B5</f>
        <v>Travaux préparatoires B06 / B07.02</v>
      </c>
      <c r="C2" s="793" t="str">
        <f>Décomposition!D4</f>
        <v>Fouilles</v>
      </c>
      <c r="D2" s="907">
        <f>Décomposition!T4/Hypothèses!D54</f>
        <v>0.3058219759911085</v>
      </c>
      <c r="E2" s="907">
        <f>D2</f>
        <v>0.3058219759911085</v>
      </c>
      <c r="F2" s="907"/>
      <c r="G2" s="907"/>
      <c r="H2" s="907">
        <f>Décomposition!U4/Hypothèses!D54</f>
        <v>0</v>
      </c>
    </row>
    <row r="3" spans="1:17" ht="15.75" customHeight="1">
      <c r="A3" s="176" t="str">
        <f>Décomposition!C14</f>
        <v>C01</v>
      </c>
      <c r="B3" s="1906" t="str">
        <f>'Outil détaillé'!B10</f>
        <v>Enveloppe du bâtiment souterraine C01 / 02 / 04 - E01 - F01</v>
      </c>
      <c r="C3" s="793" t="str">
        <f>Décomposition!D14</f>
        <v>Fondations, radiers</v>
      </c>
      <c r="D3" s="907">
        <f ca="1">Décomposition!T14/Hypothèses!D54</f>
        <v>1.4326009996461431</v>
      </c>
      <c r="E3" s="907">
        <f ca="1">D3+D4+D5</f>
        <v>2.6473423835102619</v>
      </c>
      <c r="F3" s="907"/>
      <c r="G3" s="907">
        <f ca="1">-(H3+H4+H5)</f>
        <v>-9.9493777777777792E-2</v>
      </c>
      <c r="H3" s="907">
        <f ca="1">Décomposition!U14/Hypothèses!D54</f>
        <v>0</v>
      </c>
      <c r="Q3" s="252"/>
    </row>
    <row r="4" spans="1:17">
      <c r="A4" s="176" t="str">
        <f>Décomposition!C31</f>
        <v>C02.01 (A) / E01</v>
      </c>
      <c r="B4" s="1906"/>
      <c r="C4" s="793" t="str">
        <f>Décomposition!D31</f>
        <v>Parois extérieures souterraines</v>
      </c>
      <c r="D4" s="907">
        <f ca="1">Décomposition!T31/Hypothèses!D54</f>
        <v>1.2147413838641188</v>
      </c>
      <c r="E4" s="907"/>
      <c r="F4" s="907"/>
      <c r="G4" s="907"/>
      <c r="H4" s="907">
        <f ca="1">Décomposition!U31/Hypothèses!D54</f>
        <v>9.9493777777777792E-2</v>
      </c>
      <c r="Q4" s="252"/>
    </row>
    <row r="5" spans="1:17">
      <c r="A5" s="176" t="str">
        <f>Décomposition!C41</f>
        <v>C04.04 / F01.01</v>
      </c>
      <c r="B5" s="1906"/>
      <c r="C5" s="793" t="str">
        <f>Décomposition!D41</f>
        <v>Toitures souterraines</v>
      </c>
      <c r="D5" s="907">
        <f ca="1">Décomposition!T41/Hypothèses!D54</f>
        <v>0</v>
      </c>
      <c r="E5" s="907"/>
      <c r="F5" s="907"/>
      <c r="G5" s="907"/>
      <c r="H5" s="907">
        <f ca="1">Décomposition!U41/Hypothèses!D54</f>
        <v>0</v>
      </c>
    </row>
    <row r="6" spans="1:17" ht="15.75" customHeight="1">
      <c r="A6" s="176" t="str">
        <f>Décomposition!C53</f>
        <v>C02.01 (B)</v>
      </c>
      <c r="B6" s="1906" t="str">
        <f>'Outil détaillé'!B17</f>
        <v>Enveloppe du bâtiment hors terrain C02 / 04 - E02 / 03 - F01 / 02</v>
      </c>
      <c r="C6" s="793" t="str">
        <f>Décomposition!D53</f>
        <v>Parois extérieures hors terrain</v>
      </c>
      <c r="D6" s="907">
        <f ca="1">Décomposition!T53/Hypothèses!D54</f>
        <v>0.14225373333333333</v>
      </c>
      <c r="E6" s="907">
        <f ca="1">SUM(D6:D10)</f>
        <v>3.3120794548126757</v>
      </c>
      <c r="F6" s="907"/>
      <c r="G6" s="907">
        <f ca="1">-SUM(H6:H10)</f>
        <v>-3.8930485062333928</v>
      </c>
      <c r="H6" s="907">
        <f ca="1">Décomposition!U53/Hypothèses!D54</f>
        <v>1.6647571111111112</v>
      </c>
    </row>
    <row r="7" spans="1:17">
      <c r="A7" s="176" t="str">
        <f>Décomposition!C61</f>
        <v>E02</v>
      </c>
      <c r="B7" s="1906"/>
      <c r="C7" s="793" t="str">
        <f>Décomposition!D61</f>
        <v>Revetements extérieurs de facades</v>
      </c>
      <c r="D7" s="907">
        <f ca="1">Décomposition!T61/Hypothèses!D54</f>
        <v>0.86827299647066669</v>
      </c>
      <c r="E7" s="907"/>
      <c r="F7" s="907"/>
      <c r="G7" s="907"/>
      <c r="H7" s="907">
        <f ca="1">Décomposition!U61/Hypothèses!D54</f>
        <v>0.49674492999999997</v>
      </c>
    </row>
    <row r="8" spans="1:17">
      <c r="A8" s="176" t="str">
        <f>Décomposition!C75</f>
        <v>E03 / F02</v>
      </c>
      <c r="B8" s="1906"/>
      <c r="C8" s="793" t="str">
        <f>Décomposition!D75</f>
        <v>Fenetres et portes</v>
      </c>
      <c r="D8" s="907">
        <f ca="1">Décomposition!T75/Hypothèses!D54</f>
        <v>1.2867644999999999</v>
      </c>
      <c r="E8" s="907"/>
      <c r="F8" s="907"/>
      <c r="G8" s="907"/>
      <c r="H8" s="907">
        <f ca="1">Décomposition!U75/Hypothèses!D54</f>
        <v>0.11</v>
      </c>
    </row>
    <row r="9" spans="1:17">
      <c r="A9" s="176" t="str">
        <f>Décomposition!C86</f>
        <v>C04.04 / C04.05</v>
      </c>
      <c r="B9" s="1906"/>
      <c r="C9" s="793" t="str">
        <f>Décomposition!D86</f>
        <v>Toitures (structure porteuse)</v>
      </c>
      <c r="D9" s="907">
        <f ca="1">Décomposition!T86/Hypothèses!D54</f>
        <v>0.19094808333333332</v>
      </c>
      <c r="E9" s="907"/>
      <c r="F9" s="907"/>
      <c r="G9" s="907"/>
      <c r="H9" s="907">
        <f ca="1">Décomposition!U86/Hypothèses!D54</f>
        <v>1.598197638888889</v>
      </c>
    </row>
    <row r="10" spans="1:17">
      <c r="A10" s="176" t="str">
        <f>Décomposition!C95</f>
        <v>F01.02 / F01.03</v>
      </c>
      <c r="B10" s="1906"/>
      <c r="C10" s="793" t="str">
        <f>Décomposition!D95</f>
        <v>Couvertures</v>
      </c>
      <c r="D10" s="907">
        <f ca="1">Décomposition!T95/Hypothèses!D54</f>
        <v>0.82384014167534281</v>
      </c>
      <c r="E10" s="907"/>
      <c r="F10" s="907"/>
      <c r="G10" s="907"/>
      <c r="H10" s="907">
        <f ca="1">Décomposition!U95/Hypothèses!D54</f>
        <v>2.334882623339276E-2</v>
      </c>
    </row>
    <row r="11" spans="1:17">
      <c r="A11" s="176" t="str">
        <f>Décomposition!C109</f>
        <v>C02.02</v>
      </c>
      <c r="B11" s="1906" t="str">
        <f>'Outil détaillé'!B30</f>
        <v>Eléments de construction intérieurs et extérieurs C02 / 04 - G02 / 03 / 04</v>
      </c>
      <c r="C11" s="793" t="str">
        <f>Décomposition!D109</f>
        <v>Parois intérieures</v>
      </c>
      <c r="D11" s="907">
        <f ca="1">Décomposition!T109/Hypothèses!D54</f>
        <v>1.3008010917768473</v>
      </c>
      <c r="E11" s="907">
        <f ca="1">SUM(D11:D18)</f>
        <v>4.5212191928118797</v>
      </c>
      <c r="F11" s="907"/>
      <c r="G11" s="907">
        <f ca="1">-SUM(H11:H18)</f>
        <v>-2.8315437654166664</v>
      </c>
      <c r="H11" s="907">
        <f ca="1">Décomposition!U109/Hypothèses!D54</f>
        <v>0.80405438208333335</v>
      </c>
    </row>
    <row r="12" spans="1:17">
      <c r="A12" s="176" t="str">
        <f>Décomposition!C134</f>
        <v>C04.01</v>
      </c>
      <c r="B12" s="1906"/>
      <c r="C12" s="793" t="str">
        <f>Décomposition!D134</f>
        <v>Planchers internes</v>
      </c>
      <c r="D12" s="907">
        <f ca="1">Décomposition!T134/Hypothèses!D54</f>
        <v>0.51946122186836519</v>
      </c>
      <c r="E12" s="907"/>
      <c r="F12" s="907"/>
      <c r="G12" s="907"/>
      <c r="H12" s="907">
        <f ca="1">Décomposition!U134/Hypothèses!D54</f>
        <v>1.5913119444444443</v>
      </c>
    </row>
    <row r="13" spans="1:17">
      <c r="A13" s="176" t="str">
        <f>Décomposition!C161</f>
        <v>C04.02</v>
      </c>
      <c r="B13" s="1906"/>
      <c r="C13" s="793" t="str">
        <f>Décomposition!D161</f>
        <v>Escaliers et rampes</v>
      </c>
      <c r="D13" s="907">
        <f ca="1">Décomposition!T161/Hypothèses!D54</f>
        <v>0</v>
      </c>
      <c r="E13" s="907"/>
      <c r="F13" s="907"/>
      <c r="G13" s="907"/>
      <c r="H13" s="907">
        <f ca="1">Décomposition!U161/Hypothèses!D54</f>
        <v>0</v>
      </c>
    </row>
    <row r="14" spans="1:17">
      <c r="A14" s="176" t="str">
        <f>Décomposition!C168</f>
        <v>C04.08</v>
      </c>
      <c r="B14" s="1906"/>
      <c r="C14" s="793" t="str">
        <f>Décomposition!D168</f>
        <v>Balcons, avant-toits</v>
      </c>
      <c r="D14" s="907">
        <f ca="1">Décomposition!T168/Hypothèses!D54</f>
        <v>7.9154033333333332E-2</v>
      </c>
      <c r="E14" s="907"/>
      <c r="F14" s="907"/>
      <c r="G14" s="907"/>
      <c r="H14" s="907">
        <f ca="1">Décomposition!U168/Hypothèses!D54</f>
        <v>0.26045427222222223</v>
      </c>
    </row>
    <row r="15" spans="1:17">
      <c r="A15" s="176" t="str">
        <f>Décomposition!C178</f>
        <v>G01.05</v>
      </c>
      <c r="B15" s="1906"/>
      <c r="C15" s="793" t="str">
        <f>Décomposition!D178</f>
        <v>Portes</v>
      </c>
      <c r="D15" s="907">
        <f ca="1">Décomposition!T178/Hypothèses!D54</f>
        <v>0</v>
      </c>
      <c r="E15" s="907"/>
      <c r="F15" s="907"/>
      <c r="G15" s="907"/>
      <c r="H15" s="907">
        <f ca="1">Décomposition!U178/Hypothèses!D54</f>
        <v>0</v>
      </c>
    </row>
    <row r="16" spans="1:17">
      <c r="A16" s="176" t="str">
        <f>Décomposition!C182</f>
        <v>G02</v>
      </c>
      <c r="B16" s="1906"/>
      <c r="C16" s="793" t="str">
        <f>Décomposition!D182</f>
        <v>Revetements de sols</v>
      </c>
      <c r="D16" s="907">
        <f ca="1">Décomposition!T182/Hypothèses!D54</f>
        <v>1.3349066666666665</v>
      </c>
      <c r="E16" s="907"/>
      <c r="F16" s="907"/>
      <c r="G16" s="907"/>
      <c r="H16" s="907">
        <f ca="1">Décomposition!U182/Hypothèses!D54</f>
        <v>0.11507222222222223</v>
      </c>
    </row>
    <row r="17" spans="1:8">
      <c r="A17" s="176" t="str">
        <f>Décomposition!C233</f>
        <v>G03</v>
      </c>
      <c r="B17" s="1906"/>
      <c r="C17" s="793" t="str">
        <f>Décomposition!D233</f>
        <v>Revêtement intérieurs parois</v>
      </c>
      <c r="D17" s="907">
        <f ca="1">Décomposition!T233/Hypothèses!D54</f>
        <v>1.1188655625000001</v>
      </c>
      <c r="E17" s="907"/>
      <c r="F17" s="907"/>
      <c r="G17" s="907"/>
      <c r="H17" s="907">
        <f ca="1">Décomposition!U233/Hypothèses!D54</f>
        <v>0</v>
      </c>
    </row>
    <row r="18" spans="1:8">
      <c r="A18" s="176" t="str">
        <f>Décomposition!C246</f>
        <v>G04</v>
      </c>
      <c r="B18" s="1906"/>
      <c r="C18" s="793" t="str">
        <f>Décomposition!D246</f>
        <v>Revetements plafonds</v>
      </c>
      <c r="D18" s="907">
        <f ca="1">Décomposition!T246/Hypothèses!D54</f>
        <v>0.16803061666666666</v>
      </c>
      <c r="E18" s="907"/>
      <c r="F18" s="907"/>
      <c r="G18" s="907"/>
      <c r="H18" s="907">
        <f ca="1">Décomposition!U246/Hypothèses!D54</f>
        <v>6.0650944444444431E-2</v>
      </c>
    </row>
    <row r="19" spans="1:8">
      <c r="A19" s="176" t="str">
        <f>Décomposition!C257</f>
        <v>D01</v>
      </c>
      <c r="B19" s="1906" t="str">
        <f>'Outil détaillé'!B59</f>
        <v>Installations CVSE D01 / 05 / 07 / 08 / 12</v>
      </c>
      <c r="C19" s="793" t="str">
        <f>Décomposition!D257</f>
        <v>Installations électriques</v>
      </c>
      <c r="D19" s="907">
        <f>Décomposition!T257/Hypothèses!D54</f>
        <v>0.43200000000000005</v>
      </c>
      <c r="E19" s="907">
        <f>SUM(D19:D22)</f>
        <v>2.1930004912367194</v>
      </c>
      <c r="F19" s="907"/>
      <c r="G19" s="907"/>
      <c r="H19" s="907">
        <f>Décomposition!U257/Hypothèses!D54</f>
        <v>0</v>
      </c>
    </row>
    <row r="20" spans="1:8">
      <c r="A20" s="176" t="str">
        <f>Décomposition!C260</f>
        <v>D05</v>
      </c>
      <c r="B20" s="1906"/>
      <c r="C20" s="793" t="str">
        <f>Décomposition!D260</f>
        <v>Installations techniques de chauffage</v>
      </c>
      <c r="D20" s="907">
        <f>Décomposition!T260/Hypothèses!D54</f>
        <v>0.72356715790338599</v>
      </c>
      <c r="E20" s="907"/>
      <c r="F20" s="907"/>
      <c r="G20" s="907"/>
      <c r="H20" s="907">
        <f>Décomposition!U260/Hypothèses!D54</f>
        <v>0</v>
      </c>
    </row>
    <row r="21" spans="1:8">
      <c r="A21" s="176" t="str">
        <f>Décomposition!C266</f>
        <v>D07</v>
      </c>
      <c r="B21" s="1906"/>
      <c r="C21" s="793" t="str">
        <f>Décomposition!D266</f>
        <v>Installations de ventilation et de conditionnement d'air</v>
      </c>
      <c r="D21" s="907">
        <f>Décomposition!T266/Hypothèses!D54</f>
        <v>0.61943333333333328</v>
      </c>
      <c r="E21" s="907"/>
      <c r="F21" s="907"/>
      <c r="G21" s="907"/>
      <c r="H21" s="907">
        <f>Décomposition!U266/Hypothèses!D54</f>
        <v>0</v>
      </c>
    </row>
    <row r="22" spans="1:8">
      <c r="A22" s="176" t="str">
        <f>Décomposition!C269</f>
        <v>D08 /09</v>
      </c>
      <c r="B22" s="1906"/>
      <c r="C22" s="793" t="str">
        <f>Décomposition!D269</f>
        <v>Installations techniques d'eau</v>
      </c>
      <c r="D22" s="907">
        <f>Décomposition!T269/Hypothèses!D54</f>
        <v>0.41799999999999998</v>
      </c>
      <c r="E22" s="907"/>
      <c r="F22" s="907"/>
      <c r="G22" s="907"/>
      <c r="H22" s="907">
        <f>Décomposition!U269/Hypothèses!D54</f>
        <v>0</v>
      </c>
    </row>
    <row r="23" spans="1:8">
      <c r="A23" s="674" t="s">
        <v>46</v>
      </c>
      <c r="B23" s="278" t="str">
        <f>Exploitation!A10</f>
        <v>Chauffage</v>
      </c>
      <c r="D23" s="907"/>
      <c r="E23" s="907"/>
      <c r="F23" s="907">
        <f>Exploitation!I10</f>
        <v>2.0634324000040589</v>
      </c>
      <c r="G23" s="907"/>
      <c r="H23" s="907"/>
    </row>
    <row r="24" spans="1:8">
      <c r="B24" s="278" t="str">
        <f>Exploitation!A11</f>
        <v>Eau chaude sanitaire</v>
      </c>
      <c r="D24" s="907"/>
      <c r="E24" s="907"/>
      <c r="F24" s="907">
        <f>Exploitation!I11</f>
        <v>0.48032407407407407</v>
      </c>
      <c r="G24" s="907"/>
      <c r="H24" s="907"/>
    </row>
    <row r="25" spans="1:8">
      <c r="B25" s="278" t="str">
        <f>Exploitation!A13</f>
        <v>Climatisation</v>
      </c>
      <c r="D25" s="907"/>
      <c r="E25" s="907"/>
      <c r="F25" s="907">
        <f>Exploitation!I13</f>
        <v>0.5</v>
      </c>
      <c r="G25" s="907"/>
      <c r="H25" s="907"/>
    </row>
    <row r="26" spans="1:8">
      <c r="B26" s="278" t="str">
        <f>Exploitation!A14</f>
        <v>Eclairage</v>
      </c>
      <c r="D26" s="907"/>
      <c r="E26" s="907"/>
      <c r="F26" s="907">
        <f>Exploitation!I14</f>
        <v>0.25</v>
      </c>
      <c r="G26" s="907"/>
      <c r="H26" s="907"/>
    </row>
    <row r="27" spans="1:8">
      <c r="B27" s="278" t="str">
        <f>Exploitation!A12</f>
        <v>Ventilation</v>
      </c>
      <c r="D27" s="907"/>
      <c r="E27" s="907"/>
      <c r="F27" s="907">
        <f>Exploitation!I12</f>
        <v>0.375</v>
      </c>
      <c r="G27" s="907"/>
      <c r="H27" s="907"/>
    </row>
    <row r="28" spans="1:8">
      <c r="B28" s="278" t="str">
        <f>Exploitation!A15</f>
        <v>Appareils</v>
      </c>
      <c r="D28" s="907"/>
      <c r="E28" s="907"/>
      <c r="F28" s="907">
        <f>Exploitation!I15</f>
        <v>1.875</v>
      </c>
      <c r="G28" s="907"/>
      <c r="H28" s="907"/>
    </row>
    <row r="29" spans="1:8">
      <c r="B29" s="278" t="str">
        <f>Exploitation!A16</f>
        <v>Installation techniques</v>
      </c>
      <c r="D29" s="907"/>
      <c r="E29" s="907"/>
      <c r="F29" s="907">
        <f>Exploitation!I16</f>
        <v>0</v>
      </c>
      <c r="G29" s="907"/>
      <c r="H29" s="907"/>
    </row>
    <row r="30" spans="1:8" ht="16.5" thickBot="1">
      <c r="B30" s="286" t="s">
        <v>264</v>
      </c>
      <c r="D30" s="907"/>
      <c r="E30" s="907"/>
      <c r="F30" s="907">
        <f>Exploitation!I17</f>
        <v>0</v>
      </c>
      <c r="G30" s="907"/>
      <c r="H30" s="907"/>
    </row>
    <row r="31" spans="1:8">
      <c r="B31" s="1774" t="s">
        <v>4441</v>
      </c>
      <c r="D31" s="907"/>
      <c r="E31" s="907"/>
      <c r="F31" s="907">
        <f>Exploitation!I23</f>
        <v>0.67549999999999999</v>
      </c>
      <c r="G31" s="907"/>
      <c r="H31" s="907"/>
    </row>
    <row r="32" spans="1:8">
      <c r="B32" t="s">
        <v>265</v>
      </c>
      <c r="D32" s="907"/>
      <c r="E32" s="907">
        <f ca="1">SUM(E2:E22)</f>
        <v>12.979463498362644</v>
      </c>
      <c r="F32" s="907">
        <f>SUM(F23:F31)</f>
        <v>6.2192564740781329</v>
      </c>
      <c r="G32" s="907"/>
      <c r="H32" s="907"/>
    </row>
    <row r="33" spans="1:27">
      <c r="B33" t="s">
        <v>266</v>
      </c>
      <c r="D33" s="907"/>
      <c r="E33" s="907">
        <f>'Outil simplifié'!J27</f>
        <v>9</v>
      </c>
      <c r="F33" s="1395">
        <f>'Outil simplifié'!J28</f>
        <v>2</v>
      </c>
      <c r="G33" s="907"/>
      <c r="H33" s="907"/>
    </row>
    <row r="35" spans="1:27">
      <c r="D35" s="252"/>
    </row>
    <row r="36" spans="1:27" ht="16.5" thickBot="1"/>
    <row r="37" spans="1:27" ht="16.5" thickBot="1">
      <c r="B37" t="s">
        <v>260</v>
      </c>
      <c r="C37" s="285" t="str">
        <f>Décomposition!O3</f>
        <v>Construction</v>
      </c>
      <c r="D37" s="285">
        <f>Décomposition!P3</f>
        <v>20</v>
      </c>
      <c r="E37" s="285">
        <f>Décomposition!Q3</f>
        <v>30</v>
      </c>
      <c r="F37" s="285">
        <f>Décomposition!R3</f>
        <v>40</v>
      </c>
      <c r="G37" s="285" t="str">
        <f>Décomposition!S3</f>
        <v>Déconstruction</v>
      </c>
      <c r="J37" s="253"/>
      <c r="K37" s="174"/>
      <c r="L37" s="174" t="str">
        <f>B2</f>
        <v>Travaux préparatoires B06 / B07.02</v>
      </c>
      <c r="M37" s="174" t="str">
        <f>B3</f>
        <v>Enveloppe du bâtiment souterraine C01 / 02 / 04 - E01 - F01</v>
      </c>
      <c r="N37" s="174" t="str">
        <f>B6</f>
        <v>Enveloppe du bâtiment hors terrain C02 / 04 - E02 / 03 - F01 / 02</v>
      </c>
      <c r="O37" s="174" t="str">
        <f>B11</f>
        <v>Eléments de construction intérieurs et extérieurs C02 / 04 - G02 / 03 / 04</v>
      </c>
      <c r="P37" s="174" t="str">
        <f>B19</f>
        <v>Installations CVSE D01 / 05 / 07 / 08 / 12</v>
      </c>
      <c r="Q37" s="174"/>
      <c r="R37" s="175"/>
      <c r="S37" s="253"/>
      <c r="T37" s="174"/>
      <c r="U37" s="174" t="str" cm="1">
        <f t="array" ref="U37:Y37">L37:P37</f>
        <v>Travaux préparatoires B06 / B07.02</v>
      </c>
      <c r="V37" s="174" t="str">
        <v>Enveloppe du bâtiment souterraine C01 / 02 / 04 - E01 - F01</v>
      </c>
      <c r="W37" s="174" t="str">
        <v>Enveloppe du bâtiment hors terrain C02 / 04 - E02 / 03 - F01 / 02</v>
      </c>
      <c r="X37" s="174" t="str">
        <v>Eléments de construction intérieurs et extérieurs C02 / 04 - G02 / 03 / 04</v>
      </c>
      <c r="Y37" s="174" t="str">
        <v>Installations CVSE D01 / 05 / 07 / 08 / 12</v>
      </c>
      <c r="Z37" s="174"/>
      <c r="AA37" s="175"/>
    </row>
    <row r="38" spans="1:27" ht="31.5" customHeight="1">
      <c r="A38" s="793" t="str">
        <f>Décomposition!D4</f>
        <v>Fouilles</v>
      </c>
      <c r="B38" s="875">
        <f>Décomposition!T4</f>
        <v>18.349318559466511</v>
      </c>
      <c r="C38" s="875">
        <f>Décomposition!O4</f>
        <v>18.349318559466511</v>
      </c>
      <c r="D38" s="875">
        <f>Décomposition!P4</f>
        <v>0</v>
      </c>
      <c r="E38" s="875">
        <f>Décomposition!Q4</f>
        <v>0</v>
      </c>
      <c r="F38" s="875">
        <f>Décomposition!R4</f>
        <v>0</v>
      </c>
      <c r="G38" s="875">
        <f>Décomposition!S4</f>
        <v>0</v>
      </c>
      <c r="H38" t="s">
        <v>3650</v>
      </c>
      <c r="I38" s="1208">
        <f>B38</f>
        <v>18.349318559466511</v>
      </c>
      <c r="J38" s="254" t="str">
        <f>A38</f>
        <v>Fouilles</v>
      </c>
      <c r="K38" s="875">
        <f>B38</f>
        <v>18.349318559466511</v>
      </c>
      <c r="L38" s="875">
        <f>K38</f>
        <v>18.349318559466511</v>
      </c>
      <c r="M38" s="875"/>
      <c r="N38" s="875"/>
      <c r="O38" s="875"/>
      <c r="P38" s="875"/>
      <c r="Q38" s="875"/>
      <c r="R38" s="875"/>
      <c r="S38" s="254" t="str" cm="1">
        <f t="array" aca="1" ref="S38:Y58" ca="1">_xlfn._xlws.SORT(J38:P58,2,-1)</f>
        <v>Fondations, radiers</v>
      </c>
      <c r="T38" s="875">
        <f ca="1"/>
        <v>85.956059978768579</v>
      </c>
      <c r="U38" s="875">
        <f ca="1"/>
        <v>0</v>
      </c>
      <c r="V38" s="875">
        <f ca="1"/>
        <v>85.956059978768579</v>
      </c>
      <c r="W38" s="875">
        <f ca="1"/>
        <v>0</v>
      </c>
      <c r="X38" s="875">
        <f ca="1"/>
        <v>0</v>
      </c>
      <c r="Y38" s="875">
        <f ca="1"/>
        <v>0</v>
      </c>
      <c r="Z38" s="875">
        <f t="shared" ref="Z38:Z58" ca="1" si="0">T38/T$59+Z37</f>
        <v>0.11037443880687868</v>
      </c>
      <c r="AA38" s="875"/>
    </row>
    <row r="39" spans="1:27">
      <c r="A39" s="793" t="str">
        <f>Décomposition!D14</f>
        <v>Fondations, radiers</v>
      </c>
      <c r="B39" s="876">
        <f ca="1">Décomposition!T14</f>
        <v>85.956059978768579</v>
      </c>
      <c r="C39" s="876">
        <f ca="1">Décomposition!O14</f>
        <v>76.907467622080688</v>
      </c>
      <c r="D39" s="876">
        <f ca="1">Décomposition!P14</f>
        <v>0</v>
      </c>
      <c r="E39" s="876">
        <f ca="1">Décomposition!Q14</f>
        <v>0</v>
      </c>
      <c r="F39" s="876">
        <f ca="1">Décomposition!R14</f>
        <v>0</v>
      </c>
      <c r="G39" s="876">
        <f ca="1">Décomposition!S14</f>
        <v>9.0485923566878981</v>
      </c>
      <c r="H39" t="s">
        <v>3651</v>
      </c>
      <c r="I39" s="1208">
        <f t="shared" ref="I39:I48" ca="1" si="1">B39</f>
        <v>85.956059978768579</v>
      </c>
      <c r="J39" s="254" t="str">
        <f t="shared" ref="J39:K58" si="2">A39</f>
        <v>Fondations, radiers</v>
      </c>
      <c r="K39" s="876">
        <f t="shared" ref="K39:K54" ca="1" si="3">B39</f>
        <v>85.956059978768579</v>
      </c>
      <c r="L39" s="876"/>
      <c r="M39" s="876">
        <f ca="1">K39</f>
        <v>85.956059978768579</v>
      </c>
      <c r="N39" s="876"/>
      <c r="O39" s="876"/>
      <c r="P39" s="876"/>
      <c r="Q39" s="876"/>
      <c r="R39" s="876"/>
      <c r="S39" s="254" t="str">
        <f ca="1"/>
        <v>Revetements de sols</v>
      </c>
      <c r="T39" s="876">
        <f ca="1"/>
        <v>80.094399999999993</v>
      </c>
      <c r="U39" s="876">
        <f ca="1"/>
        <v>0</v>
      </c>
      <c r="V39" s="876">
        <f ca="1"/>
        <v>0</v>
      </c>
      <c r="W39" s="876">
        <f ca="1"/>
        <v>0</v>
      </c>
      <c r="X39" s="876">
        <f ca="1"/>
        <v>80.094399999999993</v>
      </c>
      <c r="Y39" s="876">
        <f ca="1"/>
        <v>0</v>
      </c>
      <c r="Z39" s="876">
        <f t="shared" ca="1" si="0"/>
        <v>0.21322203854280497</v>
      </c>
      <c r="AA39" s="876"/>
    </row>
    <row r="40" spans="1:27">
      <c r="A40" s="793" t="str">
        <f>Décomposition!D31</f>
        <v>Parois extérieures souterraines</v>
      </c>
      <c r="B40" s="876">
        <f ca="1">Décomposition!T31</f>
        <v>72.884483031847125</v>
      </c>
      <c r="C40" s="876">
        <f ca="1">Décomposition!O31</f>
        <v>61.899763566878981</v>
      </c>
      <c r="D40" s="876">
        <f ca="1">Décomposition!P31</f>
        <v>0</v>
      </c>
      <c r="E40" s="876">
        <f ca="1">Décomposition!Q31</f>
        <v>0</v>
      </c>
      <c r="F40" s="876">
        <f ca="1">Décomposition!R31</f>
        <v>0</v>
      </c>
      <c r="G40" s="876">
        <f ca="1">Décomposition!S31</f>
        <v>10.984719464968151</v>
      </c>
      <c r="H40" t="s">
        <v>414</v>
      </c>
      <c r="I40" s="1208">
        <f t="shared" ca="1" si="1"/>
        <v>72.884483031847125</v>
      </c>
      <c r="J40" s="254" t="str">
        <f t="shared" si="2"/>
        <v>Parois extérieures souterraines</v>
      </c>
      <c r="K40" s="876">
        <f t="shared" ca="1" si="3"/>
        <v>72.884483031847125</v>
      </c>
      <c r="L40" s="876"/>
      <c r="M40" s="876">
        <f ca="1">K40</f>
        <v>72.884483031847125</v>
      </c>
      <c r="N40" s="876"/>
      <c r="O40" s="876"/>
      <c r="P40" s="876"/>
      <c r="Q40" s="876"/>
      <c r="R40" s="876"/>
      <c r="S40" s="254" t="str">
        <f ca="1"/>
        <v>Parois intérieures</v>
      </c>
      <c r="T40" s="876">
        <f ca="1"/>
        <v>78.04806550661084</v>
      </c>
      <c r="U40" s="876">
        <f ca="1"/>
        <v>0</v>
      </c>
      <c r="V40" s="876">
        <f ca="1"/>
        <v>0</v>
      </c>
      <c r="W40" s="876">
        <f ca="1"/>
        <v>0</v>
      </c>
      <c r="X40" s="876">
        <f ca="1"/>
        <v>78.04806550661084</v>
      </c>
      <c r="Y40" s="876">
        <f ca="1"/>
        <v>0</v>
      </c>
      <c r="Z40" s="876">
        <f t="shared" ca="1" si="0"/>
        <v>0.31344198152742397</v>
      </c>
      <c r="AA40" s="876"/>
    </row>
    <row r="41" spans="1:27">
      <c r="A41" s="793" t="str">
        <f>Décomposition!D41</f>
        <v>Toitures souterraines</v>
      </c>
      <c r="B41" s="876">
        <f ca="1">Décomposition!T41</f>
        <v>0</v>
      </c>
      <c r="C41" s="876">
        <f ca="1">Décomposition!O41</f>
        <v>0</v>
      </c>
      <c r="D41" s="876">
        <f ca="1">Décomposition!P41</f>
        <v>0</v>
      </c>
      <c r="E41" s="876">
        <f ca="1">Décomposition!Q41</f>
        <v>0</v>
      </c>
      <c r="F41" s="876">
        <f ca="1">Décomposition!R41</f>
        <v>0</v>
      </c>
      <c r="G41" s="876">
        <f ca="1">Décomposition!S41</f>
        <v>0</v>
      </c>
      <c r="H41" t="s">
        <v>417</v>
      </c>
      <c r="I41" s="1208">
        <f t="shared" ca="1" si="1"/>
        <v>0</v>
      </c>
      <c r="J41" s="254" t="str">
        <f t="shared" si="2"/>
        <v>Toitures souterraines</v>
      </c>
      <c r="K41" s="876">
        <f t="shared" ca="1" si="3"/>
        <v>0</v>
      </c>
      <c r="L41" s="876"/>
      <c r="M41" s="876">
        <f ca="1">K41</f>
        <v>0</v>
      </c>
      <c r="N41" s="876"/>
      <c r="O41" s="876"/>
      <c r="P41" s="876"/>
      <c r="Q41" s="876"/>
      <c r="R41" s="876"/>
      <c r="S41" s="254" t="str">
        <f ca="1"/>
        <v>Fenetres et portes</v>
      </c>
      <c r="T41" s="876">
        <f ca="1"/>
        <v>77.20586999999999</v>
      </c>
      <c r="U41" s="876">
        <f ca="1"/>
        <v>0</v>
      </c>
      <c r="V41" s="876">
        <f ca="1"/>
        <v>0</v>
      </c>
      <c r="W41" s="876">
        <f ca="1"/>
        <v>77.20586999999999</v>
      </c>
      <c r="X41" s="876">
        <f ca="1"/>
        <v>0</v>
      </c>
      <c r="Y41" s="876">
        <f ca="1"/>
        <v>0</v>
      </c>
      <c r="Z41" s="876">
        <f t="shared" ca="1" si="0"/>
        <v>0.41258047828904476</v>
      </c>
      <c r="AA41" s="876"/>
    </row>
    <row r="42" spans="1:27">
      <c r="A42" s="793" t="str">
        <f>Décomposition!D53</f>
        <v>Parois extérieures hors terrain</v>
      </c>
      <c r="B42" s="876">
        <f ca="1">Décomposition!T53</f>
        <v>8.5352239999999995</v>
      </c>
      <c r="C42" s="876">
        <f ca="1">Décomposition!O53</f>
        <v>5.9627839999999992</v>
      </c>
      <c r="D42" s="876">
        <f ca="1">Décomposition!P53</f>
        <v>0</v>
      </c>
      <c r="E42" s="876">
        <f ca="1">Décomposition!Q53</f>
        <v>0</v>
      </c>
      <c r="F42" s="876">
        <f ca="1">Décomposition!R53</f>
        <v>0</v>
      </c>
      <c r="G42" s="876">
        <f ca="1">Décomposition!S53</f>
        <v>2.5724399999999998</v>
      </c>
      <c r="H42" t="s">
        <v>421</v>
      </c>
      <c r="I42" s="1208">
        <f t="shared" ca="1" si="1"/>
        <v>8.5352239999999995</v>
      </c>
      <c r="J42" s="254" t="str">
        <f t="shared" si="2"/>
        <v>Parois extérieures hors terrain</v>
      </c>
      <c r="K42" s="876">
        <f t="shared" ca="1" si="3"/>
        <v>8.5352239999999995</v>
      </c>
      <c r="L42" s="876"/>
      <c r="M42" s="876"/>
      <c r="N42" s="876">
        <f ca="1">K42</f>
        <v>8.5352239999999995</v>
      </c>
      <c r="O42" s="876"/>
      <c r="P42" s="876"/>
      <c r="Q42" s="876"/>
      <c r="R42" s="876"/>
      <c r="S42" s="254" t="str">
        <f ca="1"/>
        <v>Parois extérieures souterraines</v>
      </c>
      <c r="T42" s="876">
        <f ca="1"/>
        <v>72.884483031847125</v>
      </c>
      <c r="U42" s="876">
        <f ca="1"/>
        <v>0</v>
      </c>
      <c r="V42" s="876">
        <f ca="1"/>
        <v>72.884483031847125</v>
      </c>
      <c r="W42" s="876">
        <f ca="1"/>
        <v>0</v>
      </c>
      <c r="X42" s="876">
        <f ca="1"/>
        <v>0</v>
      </c>
      <c r="Y42" s="876">
        <f ca="1"/>
        <v>0</v>
      </c>
      <c r="Z42" s="876">
        <f t="shared" ca="1" si="0"/>
        <v>0.50616996941226089</v>
      </c>
      <c r="AA42" s="876"/>
    </row>
    <row r="43" spans="1:27">
      <c r="A43" s="793" t="str">
        <f>Décomposition!D61</f>
        <v>Revetements extérieurs de facades</v>
      </c>
      <c r="B43" s="876">
        <f ca="1">Décomposition!T61</f>
        <v>52.09637978824</v>
      </c>
      <c r="C43" s="876">
        <f ca="1">Décomposition!O61</f>
        <v>22.882873800000002</v>
      </c>
      <c r="D43" s="876">
        <f ca="1">Décomposition!P61</f>
        <v>0</v>
      </c>
      <c r="E43" s="876">
        <f ca="1">Décomposition!Q61</f>
        <v>0</v>
      </c>
      <c r="F43" s="876">
        <f ca="1">Décomposition!R61</f>
        <v>26.048189894120004</v>
      </c>
      <c r="G43" s="876">
        <f ca="1">Décomposition!S61</f>
        <v>3.16531609412</v>
      </c>
      <c r="H43" t="s">
        <v>3652</v>
      </c>
      <c r="I43" s="1208">
        <f t="shared" ca="1" si="1"/>
        <v>52.09637978824</v>
      </c>
      <c r="J43" s="254" t="str">
        <f t="shared" si="2"/>
        <v>Revetements extérieurs de facades</v>
      </c>
      <c r="K43" s="876">
        <f t="shared" ca="1" si="3"/>
        <v>52.09637978824</v>
      </c>
      <c r="L43" s="876"/>
      <c r="M43" s="876"/>
      <c r="N43" s="876">
        <f ca="1">K43</f>
        <v>52.09637978824</v>
      </c>
      <c r="O43" s="876"/>
      <c r="P43" s="876"/>
      <c r="Q43" s="876"/>
      <c r="R43" s="876"/>
      <c r="S43" s="254" t="str">
        <f ca="1"/>
        <v>Revêtement intérieurs parois</v>
      </c>
      <c r="T43" s="876">
        <f ca="1"/>
        <v>67.131933750000002</v>
      </c>
      <c r="U43" s="876">
        <f ca="1"/>
        <v>0</v>
      </c>
      <c r="V43" s="876">
        <f ca="1"/>
        <v>0</v>
      </c>
      <c r="W43" s="876">
        <f ca="1"/>
        <v>0</v>
      </c>
      <c r="X43" s="876">
        <f ca="1"/>
        <v>67.131933750000002</v>
      </c>
      <c r="Y43" s="876">
        <f ca="1"/>
        <v>0</v>
      </c>
      <c r="Z43" s="876">
        <f t="shared" ca="1" si="0"/>
        <v>0.59237272830450205</v>
      </c>
      <c r="AA43" s="876"/>
    </row>
    <row r="44" spans="1:27">
      <c r="A44" s="793" t="str">
        <f>Décomposition!D75</f>
        <v>Fenetres et portes</v>
      </c>
      <c r="B44" s="876">
        <f ca="1">Décomposition!T75</f>
        <v>77.20586999999999</v>
      </c>
      <c r="C44" s="876">
        <f ca="1">Décomposition!O75</f>
        <v>35.575245000000002</v>
      </c>
      <c r="D44" s="876">
        <f ca="1">Décomposition!P75</f>
        <v>0</v>
      </c>
      <c r="E44" s="876">
        <f ca="1">Décomposition!Q75</f>
        <v>38.602935000000002</v>
      </c>
      <c r="F44" s="876">
        <f ca="1">Décomposition!R75</f>
        <v>0</v>
      </c>
      <c r="G44" s="876">
        <f ca="1">Décomposition!S75</f>
        <v>3.0276900000000002</v>
      </c>
      <c r="H44" t="s">
        <v>428</v>
      </c>
      <c r="I44" s="1208">
        <f t="shared" ca="1" si="1"/>
        <v>77.20586999999999</v>
      </c>
      <c r="J44" s="254" t="str">
        <f t="shared" si="2"/>
        <v>Fenetres et portes</v>
      </c>
      <c r="K44" s="876">
        <f t="shared" ca="1" si="3"/>
        <v>77.20586999999999</v>
      </c>
      <c r="L44" s="876"/>
      <c r="M44" s="876"/>
      <c r="N44" s="876">
        <f ca="1">K44</f>
        <v>77.20586999999999</v>
      </c>
      <c r="O44" s="876"/>
      <c r="P44" s="876"/>
      <c r="Q44" s="876"/>
      <c r="R44" s="876"/>
      <c r="S44" s="254" t="str">
        <f ca="1"/>
        <v>Revetements extérieurs de facades</v>
      </c>
      <c r="T44" s="876">
        <f ca="1"/>
        <v>52.09637978824</v>
      </c>
      <c r="U44" s="876">
        <f ca="1"/>
        <v>0</v>
      </c>
      <c r="V44" s="876">
        <f ca="1"/>
        <v>0</v>
      </c>
      <c r="W44" s="876">
        <f ca="1"/>
        <v>52.09637978824</v>
      </c>
      <c r="X44" s="876">
        <f ca="1"/>
        <v>0</v>
      </c>
      <c r="Y44" s="876">
        <f ca="1"/>
        <v>0</v>
      </c>
      <c r="Z44" s="876">
        <f t="shared" ca="1" si="0"/>
        <v>0.6592686363349225</v>
      </c>
      <c r="AA44" s="876"/>
    </row>
    <row r="45" spans="1:27">
      <c r="A45" s="793" t="str">
        <f>Décomposition!D86</f>
        <v>Toitures (structure porteuse)</v>
      </c>
      <c r="B45" s="876">
        <f ca="1">Décomposition!T86</f>
        <v>11.456885</v>
      </c>
      <c r="C45" s="876">
        <f ca="1">Décomposition!O86</f>
        <v>9.1114500000000014</v>
      </c>
      <c r="D45" s="876">
        <f ca="1">Décomposition!P86</f>
        <v>0</v>
      </c>
      <c r="E45" s="876">
        <f ca="1">Décomposition!Q86</f>
        <v>0</v>
      </c>
      <c r="F45" s="876">
        <f ca="1">Décomposition!R86</f>
        <v>0</v>
      </c>
      <c r="G45" s="876">
        <f ca="1">Décomposition!S86</f>
        <v>2.3454349999999997</v>
      </c>
      <c r="H45" t="s">
        <v>431</v>
      </c>
      <c r="I45" s="1208">
        <f t="shared" ca="1" si="1"/>
        <v>11.456885</v>
      </c>
      <c r="J45" s="254" t="str">
        <f t="shared" si="2"/>
        <v>Toitures (structure porteuse)</v>
      </c>
      <c r="K45" s="876">
        <f t="shared" ca="1" si="3"/>
        <v>11.456885</v>
      </c>
      <c r="L45" s="876"/>
      <c r="M45" s="876"/>
      <c r="N45" s="876">
        <f ca="1">K45</f>
        <v>11.456885</v>
      </c>
      <c r="O45" s="876"/>
      <c r="P45" s="876"/>
      <c r="Q45" s="876"/>
      <c r="R45" s="876"/>
      <c r="S45" s="254" t="str">
        <f ca="1"/>
        <v>Couvertures</v>
      </c>
      <c r="T45" s="876">
        <f ca="1"/>
        <v>49.430408500520571</v>
      </c>
      <c r="U45" s="876">
        <f ca="1"/>
        <v>0</v>
      </c>
      <c r="V45" s="876">
        <f ca="1"/>
        <v>0</v>
      </c>
      <c r="W45" s="876">
        <f ca="1"/>
        <v>49.430408500520571</v>
      </c>
      <c r="X45" s="876">
        <f ca="1"/>
        <v>0</v>
      </c>
      <c r="Y45" s="876">
        <f ca="1"/>
        <v>0</v>
      </c>
      <c r="Z45" s="876">
        <f t="shared" ca="1" si="0"/>
        <v>0.72274122453390854</v>
      </c>
      <c r="AA45" s="876"/>
    </row>
    <row r="46" spans="1:27">
      <c r="A46" s="793" t="str">
        <f>Décomposition!D95</f>
        <v>Couvertures</v>
      </c>
      <c r="B46" s="876">
        <f ca="1">Décomposition!T95</f>
        <v>49.430408500520571</v>
      </c>
      <c r="C46" s="876">
        <f ca="1">Décomposition!O95</f>
        <v>22.957028032692101</v>
      </c>
      <c r="D46" s="876">
        <f ca="1">Décomposition!P95</f>
        <v>0</v>
      </c>
      <c r="E46" s="876">
        <f ca="1">Décomposition!Q95</f>
        <v>0</v>
      </c>
      <c r="F46" s="876">
        <f ca="1">Décomposition!R95</f>
        <v>24.715204250260285</v>
      </c>
      <c r="G46" s="876">
        <f ca="1">Décomposition!S95</f>
        <v>1.7581762175681837</v>
      </c>
      <c r="H46" t="s">
        <v>434</v>
      </c>
      <c r="I46" s="1208">
        <f t="shared" ca="1" si="1"/>
        <v>49.430408500520571</v>
      </c>
      <c r="J46" s="254" t="str">
        <f t="shared" si="2"/>
        <v>Couvertures</v>
      </c>
      <c r="K46" s="876">
        <f t="shared" ca="1" si="3"/>
        <v>49.430408500520571</v>
      </c>
      <c r="L46" s="876"/>
      <c r="M46" s="876"/>
      <c r="N46" s="876">
        <f ca="1">K46</f>
        <v>49.430408500520571</v>
      </c>
      <c r="O46" s="876"/>
      <c r="P46" s="876"/>
      <c r="Q46" s="876"/>
      <c r="R46" s="876"/>
      <c r="S46" s="254" t="str">
        <f ca="1"/>
        <v>Installations techniques de chauffage</v>
      </c>
      <c r="T46" s="876">
        <f ca="1"/>
        <v>43.414029474203161</v>
      </c>
      <c r="U46" s="876">
        <f ca="1"/>
        <v>0</v>
      </c>
      <c r="V46" s="876">
        <f ca="1"/>
        <v>0</v>
      </c>
      <c r="W46" s="876">
        <f ca="1"/>
        <v>0</v>
      </c>
      <c r="X46" s="876">
        <f ca="1"/>
        <v>0</v>
      </c>
      <c r="Y46" s="876">
        <f ca="1"/>
        <v>43.414029474203161</v>
      </c>
      <c r="Z46" s="876">
        <f t="shared" ca="1" si="0"/>
        <v>0.7784883020610085</v>
      </c>
      <c r="AA46" s="876"/>
    </row>
    <row r="47" spans="1:27">
      <c r="A47" s="793" t="str">
        <f>Décomposition!D109</f>
        <v>Parois intérieures</v>
      </c>
      <c r="B47" s="876">
        <f ca="1">Décomposition!T109</f>
        <v>78.04806550661084</v>
      </c>
      <c r="C47" s="876">
        <f ca="1">Décomposition!O109</f>
        <v>60.832305964012747</v>
      </c>
      <c r="D47" s="876">
        <f ca="1">Décomposition!P109</f>
        <v>0</v>
      </c>
      <c r="E47" s="876">
        <f ca="1">Décomposition!Q109</f>
        <v>11.189885313600001</v>
      </c>
      <c r="F47" s="876">
        <f ca="1">Décomposition!R109</f>
        <v>0</v>
      </c>
      <c r="G47" s="876">
        <f ca="1">Décomposition!S109</f>
        <v>6.0258742289980898</v>
      </c>
      <c r="H47" t="s">
        <v>3653</v>
      </c>
      <c r="I47" s="1208">
        <f t="shared" ca="1" si="1"/>
        <v>78.04806550661084</v>
      </c>
      <c r="J47" s="254" t="str">
        <f t="shared" si="2"/>
        <v>Parois intérieures</v>
      </c>
      <c r="K47" s="876">
        <f t="shared" ca="1" si="3"/>
        <v>78.04806550661084</v>
      </c>
      <c r="L47" s="876"/>
      <c r="M47" s="876"/>
      <c r="N47" s="876"/>
      <c r="O47" s="876">
        <f t="shared" ref="O47:O54" ca="1" si="4">K47</f>
        <v>78.04806550661084</v>
      </c>
      <c r="P47" s="876"/>
      <c r="Q47" s="876"/>
      <c r="R47" s="876"/>
      <c r="S47" s="254" t="str">
        <f ca="1"/>
        <v>Installations de ventilation et de conditionnement d'air</v>
      </c>
      <c r="T47" s="876">
        <f ca="1"/>
        <v>37.165999999999997</v>
      </c>
      <c r="U47" s="876">
        <f ca="1"/>
        <v>0</v>
      </c>
      <c r="V47" s="876">
        <f ca="1"/>
        <v>0</v>
      </c>
      <c r="W47" s="876">
        <f ca="1"/>
        <v>0</v>
      </c>
      <c r="X47" s="876">
        <f ca="1"/>
        <v>0</v>
      </c>
      <c r="Y47" s="876">
        <f ca="1"/>
        <v>37.165999999999997</v>
      </c>
      <c r="Z47" s="876">
        <f t="shared" ca="1" si="0"/>
        <v>0.8262124112594722</v>
      </c>
      <c r="AA47" s="876"/>
    </row>
    <row r="48" spans="1:27">
      <c r="A48" s="793" t="str">
        <f>Décomposition!D134</f>
        <v>Planchers internes</v>
      </c>
      <c r="B48" s="876">
        <f ca="1">Décomposition!T134</f>
        <v>31.167673312101911</v>
      </c>
      <c r="C48" s="876">
        <f ca="1">Décomposition!O134</f>
        <v>26.077550955414011</v>
      </c>
      <c r="D48" s="876">
        <f ca="1">Décomposition!P134</f>
        <v>0</v>
      </c>
      <c r="E48" s="876">
        <f ca="1">Décomposition!Q134</f>
        <v>0</v>
      </c>
      <c r="F48" s="876">
        <f ca="1">Décomposition!R134</f>
        <v>0</v>
      </c>
      <c r="G48" s="876">
        <f ca="1">Décomposition!S134</f>
        <v>5.0901223566878979</v>
      </c>
      <c r="H48" t="s">
        <v>442</v>
      </c>
      <c r="I48" s="1208">
        <f t="shared" ca="1" si="1"/>
        <v>31.167673312101911</v>
      </c>
      <c r="J48" s="254" t="str">
        <f t="shared" si="2"/>
        <v>Planchers internes</v>
      </c>
      <c r="K48" s="876">
        <f t="shared" ca="1" si="3"/>
        <v>31.167673312101911</v>
      </c>
      <c r="L48" s="876"/>
      <c r="M48" s="876"/>
      <c r="N48" s="876"/>
      <c r="O48" s="876">
        <f t="shared" ca="1" si="4"/>
        <v>31.167673312101911</v>
      </c>
      <c r="P48" s="876"/>
      <c r="Q48" s="876"/>
      <c r="R48" s="876"/>
      <c r="S48" s="254" t="str">
        <f ca="1"/>
        <v>Planchers internes</v>
      </c>
      <c r="T48" s="876">
        <f ca="1"/>
        <v>31.167673312101911</v>
      </c>
      <c r="U48" s="876">
        <f ca="1"/>
        <v>0</v>
      </c>
      <c r="V48" s="876">
        <f ca="1"/>
        <v>0</v>
      </c>
      <c r="W48" s="876">
        <f ca="1"/>
        <v>0</v>
      </c>
      <c r="X48" s="876">
        <f ca="1"/>
        <v>31.167673312101911</v>
      </c>
      <c r="Y48" s="876">
        <f ca="1"/>
        <v>0</v>
      </c>
      <c r="Z48" s="876">
        <f t="shared" ca="1" si="0"/>
        <v>0.86623419042884198</v>
      </c>
      <c r="AA48" s="876"/>
    </row>
    <row r="49" spans="1:27">
      <c r="A49" s="793" t="str">
        <f>Décomposition!D161</f>
        <v>Escaliers et rampes</v>
      </c>
      <c r="B49" s="876">
        <f ca="1">Décomposition!T161</f>
        <v>0</v>
      </c>
      <c r="C49" s="876">
        <f ca="1">Décomposition!O161</f>
        <v>0</v>
      </c>
      <c r="D49" s="876">
        <f ca="1">Décomposition!P161</f>
        <v>0</v>
      </c>
      <c r="E49" s="876">
        <f ca="1">Décomposition!Q161</f>
        <v>0</v>
      </c>
      <c r="F49" s="876">
        <f ca="1">Décomposition!R161</f>
        <v>0</v>
      </c>
      <c r="G49" s="876">
        <f ca="1">Décomposition!S161</f>
        <v>0</v>
      </c>
      <c r="H49" t="s">
        <v>3654</v>
      </c>
      <c r="I49" s="1208">
        <f ca="1">B52+B54</f>
        <v>90.176236999999986</v>
      </c>
      <c r="J49" s="254"/>
      <c r="K49" s="876"/>
      <c r="L49" s="876"/>
      <c r="M49" s="876"/>
      <c r="N49" s="876"/>
      <c r="O49" s="876"/>
      <c r="P49" s="876"/>
      <c r="Q49" s="876"/>
      <c r="R49" s="876"/>
      <c r="S49" s="254" t="str">
        <f ca="1"/>
        <v>Installations électriques</v>
      </c>
      <c r="T49" s="876">
        <f ca="1"/>
        <v>25.92</v>
      </c>
      <c r="U49" s="876">
        <f ca="1"/>
        <v>0</v>
      </c>
      <c r="V49" s="876">
        <f ca="1"/>
        <v>0</v>
      </c>
      <c r="W49" s="876">
        <f ca="1"/>
        <v>0</v>
      </c>
      <c r="X49" s="876">
        <f ca="1"/>
        <v>0</v>
      </c>
      <c r="Y49" s="876">
        <f ca="1"/>
        <v>25.92</v>
      </c>
      <c r="Z49" s="876">
        <f t="shared" ca="1" si="0"/>
        <v>0.89951753839268478</v>
      </c>
      <c r="AA49" s="876"/>
    </row>
    <row r="50" spans="1:27">
      <c r="A50" s="793" t="str">
        <f>Décomposition!D168</f>
        <v>Balcons, avant-toits</v>
      </c>
      <c r="B50" s="876">
        <f ca="1">Décomposition!T168</f>
        <v>4.7492419999999997</v>
      </c>
      <c r="C50" s="876">
        <f ca="1">Décomposition!O168</f>
        <v>1.80667</v>
      </c>
      <c r="D50" s="876">
        <f ca="1">Décomposition!P168</f>
        <v>0</v>
      </c>
      <c r="E50" s="876">
        <f ca="1">Décomposition!Q168</f>
        <v>0</v>
      </c>
      <c r="F50" s="876">
        <f ca="1">Décomposition!R168</f>
        <v>2.3746209999999999</v>
      </c>
      <c r="G50" s="876">
        <f ca="1">Décomposition!S168</f>
        <v>0.56795099999999998</v>
      </c>
      <c r="H50" t="s">
        <v>448</v>
      </c>
      <c r="I50" s="1208">
        <f ca="1">B50</f>
        <v>4.7492419999999997</v>
      </c>
      <c r="J50" s="254" t="str">
        <f t="shared" si="2"/>
        <v>Balcons, avant-toits</v>
      </c>
      <c r="K50" s="876">
        <f t="shared" ca="1" si="3"/>
        <v>4.7492419999999997</v>
      </c>
      <c r="L50" s="876"/>
      <c r="M50" s="876"/>
      <c r="N50" s="876"/>
      <c r="O50" s="876">
        <f t="shared" ca="1" si="4"/>
        <v>4.7492419999999997</v>
      </c>
      <c r="P50" s="876"/>
      <c r="Q50" s="876"/>
      <c r="R50" s="876"/>
      <c r="S50" s="254" t="str">
        <f ca="1"/>
        <v>Installations techniques d'eau</v>
      </c>
      <c r="T50" s="876">
        <f ca="1"/>
        <v>25.08</v>
      </c>
      <c r="U50" s="876">
        <f ca="1"/>
        <v>0</v>
      </c>
      <c r="V50" s="876">
        <f ca="1"/>
        <v>0</v>
      </c>
      <c r="W50" s="876">
        <f ca="1"/>
        <v>0</v>
      </c>
      <c r="X50" s="876">
        <f ca="1"/>
        <v>0</v>
      </c>
      <c r="Y50" s="876">
        <f ca="1"/>
        <v>25.08</v>
      </c>
      <c r="Z50" s="876">
        <f t="shared" ca="1" si="0"/>
        <v>0.93172225933918085</v>
      </c>
      <c r="AA50" s="876"/>
    </row>
    <row r="51" spans="1:27">
      <c r="A51" s="793" t="str">
        <f>Décomposition!D178</f>
        <v>Portes</v>
      </c>
      <c r="B51" s="876">
        <f ca="1">Décomposition!T178</f>
        <v>0</v>
      </c>
      <c r="C51" s="876">
        <f ca="1">Décomposition!O178</f>
        <v>0</v>
      </c>
      <c r="D51" s="876">
        <f ca="1">Décomposition!P178</f>
        <v>0</v>
      </c>
      <c r="E51" s="876">
        <f ca="1">Décomposition!Q178</f>
        <v>0</v>
      </c>
      <c r="F51" s="876">
        <f ca="1">Décomposition!R178</f>
        <v>0</v>
      </c>
      <c r="G51" s="876">
        <f ca="1">Décomposition!S178</f>
        <v>0</v>
      </c>
      <c r="H51" t="s">
        <v>446</v>
      </c>
      <c r="I51" s="1208">
        <f ca="1">B49</f>
        <v>0</v>
      </c>
      <c r="J51" s="254"/>
      <c r="K51" s="876">
        <f t="shared" ca="1" si="3"/>
        <v>0</v>
      </c>
      <c r="L51" s="876"/>
      <c r="M51" s="876"/>
      <c r="N51" s="876"/>
      <c r="O51" s="876">
        <f t="shared" ca="1" si="4"/>
        <v>0</v>
      </c>
      <c r="P51" s="876"/>
      <c r="Q51" s="876"/>
      <c r="R51" s="876"/>
      <c r="S51" s="254" t="str">
        <f ca="1"/>
        <v>Fouilles</v>
      </c>
      <c r="T51" s="876">
        <f ca="1"/>
        <v>18.349318559466511</v>
      </c>
      <c r="U51" s="876">
        <f ca="1"/>
        <v>18.349318559466511</v>
      </c>
      <c r="V51" s="876">
        <f ca="1"/>
        <v>0</v>
      </c>
      <c r="W51" s="876">
        <f ca="1"/>
        <v>0</v>
      </c>
      <c r="X51" s="876">
        <f ca="1"/>
        <v>0</v>
      </c>
      <c r="Y51" s="876">
        <f ca="1"/>
        <v>0</v>
      </c>
      <c r="Z51" s="876">
        <f t="shared" ca="1" si="0"/>
        <v>0.9552842483250652</v>
      </c>
      <c r="AA51" s="876"/>
    </row>
    <row r="52" spans="1:27">
      <c r="A52" s="793" t="str">
        <f>Décomposition!D182</f>
        <v>Revetements de sols</v>
      </c>
      <c r="B52" s="876">
        <f ca="1">Décomposition!T182</f>
        <v>80.094399999999993</v>
      </c>
      <c r="C52" s="876">
        <f ca="1">Décomposition!O182</f>
        <v>35.784399999999998</v>
      </c>
      <c r="D52" s="876">
        <f ca="1">Décomposition!P182</f>
        <v>0</v>
      </c>
      <c r="E52" s="876">
        <f ca="1">Décomposition!Q182</f>
        <v>40.047200000000004</v>
      </c>
      <c r="F52" s="876">
        <f ca="1">Décomposition!R182</f>
        <v>0</v>
      </c>
      <c r="G52" s="876">
        <f ca="1">Décomposition!S182</f>
        <v>4.2628000000000004</v>
      </c>
      <c r="H52" t="s">
        <v>40</v>
      </c>
      <c r="I52" s="1208">
        <f>SUM(B55:B58)</f>
        <v>131.58002947420317</v>
      </c>
      <c r="J52" s="254" t="str">
        <f t="shared" si="2"/>
        <v>Revetements de sols</v>
      </c>
      <c r="K52" s="876">
        <f t="shared" ca="1" si="3"/>
        <v>80.094399999999993</v>
      </c>
      <c r="L52" s="876"/>
      <c r="M52" s="876"/>
      <c r="N52" s="876"/>
      <c r="O52" s="876">
        <f t="shared" ca="1" si="4"/>
        <v>80.094399999999993</v>
      </c>
      <c r="P52" s="876"/>
      <c r="Q52" s="876"/>
      <c r="R52" s="876"/>
      <c r="S52" s="254" t="str">
        <f ca="1"/>
        <v>Toitures (structure porteuse)</v>
      </c>
      <c r="T52" s="876">
        <f ca="1"/>
        <v>11.456885</v>
      </c>
      <c r="U52" s="876">
        <f ca="1"/>
        <v>0</v>
      </c>
      <c r="V52" s="876">
        <f ca="1"/>
        <v>0</v>
      </c>
      <c r="W52" s="876">
        <f ca="1"/>
        <v>11.456885</v>
      </c>
      <c r="X52" s="876">
        <f ca="1"/>
        <v>0</v>
      </c>
      <c r="Y52" s="876">
        <f ca="1"/>
        <v>0</v>
      </c>
      <c r="Z52" s="876">
        <f t="shared" ca="1" si="0"/>
        <v>0.96999580272463048</v>
      </c>
      <c r="AA52" s="876"/>
    </row>
    <row r="53" spans="1:27">
      <c r="A53" s="793" t="str">
        <f>Décomposition!D233</f>
        <v>Revêtement intérieurs parois</v>
      </c>
      <c r="B53" s="876">
        <f ca="1">Décomposition!T233</f>
        <v>67.131933750000002</v>
      </c>
      <c r="C53" s="876">
        <f ca="1">Décomposition!O233</f>
        <v>31.716405000000002</v>
      </c>
      <c r="D53" s="876">
        <f ca="1">Décomposition!P233</f>
        <v>0</v>
      </c>
      <c r="E53" s="876">
        <f ca="1">Décomposition!Q233</f>
        <v>33.565966875000001</v>
      </c>
      <c r="F53" s="876">
        <f ca="1">Décomposition!R233</f>
        <v>0</v>
      </c>
      <c r="G53" s="876">
        <f ca="1">Décomposition!S233</f>
        <v>1.849561875</v>
      </c>
      <c r="H53" t="s">
        <v>265</v>
      </c>
      <c r="I53" s="1208">
        <f ca="1">SUM(I38:I52)</f>
        <v>711.63587615175857</v>
      </c>
      <c r="J53" s="254" t="str">
        <f t="shared" si="2"/>
        <v>Revêtement intérieurs parois</v>
      </c>
      <c r="K53" s="876">
        <f t="shared" ca="1" si="3"/>
        <v>67.131933750000002</v>
      </c>
      <c r="L53" s="876"/>
      <c r="M53" s="876"/>
      <c r="N53" s="876"/>
      <c r="O53" s="876">
        <f t="shared" ca="1" si="4"/>
        <v>67.131933750000002</v>
      </c>
      <c r="P53" s="876"/>
      <c r="Q53" s="876"/>
      <c r="R53" s="876"/>
      <c r="S53" s="254" t="str">
        <f ca="1"/>
        <v>Revetements plafonds</v>
      </c>
      <c r="T53" s="876">
        <f ca="1"/>
        <v>10.081837</v>
      </c>
      <c r="U53" s="876">
        <f ca="1"/>
        <v>0</v>
      </c>
      <c r="V53" s="876">
        <f ca="1"/>
        <v>0</v>
      </c>
      <c r="W53" s="876">
        <f ca="1"/>
        <v>0</v>
      </c>
      <c r="X53" s="876">
        <f ca="1"/>
        <v>10.081837</v>
      </c>
      <c r="Y53" s="876">
        <f ca="1"/>
        <v>0</v>
      </c>
      <c r="Z53" s="876">
        <f t="shared" ca="1" si="0"/>
        <v>0.98294168578735208</v>
      </c>
      <c r="AA53" s="876"/>
    </row>
    <row r="54" spans="1:27">
      <c r="A54" s="793" t="str">
        <f>Décomposition!D246</f>
        <v>Revetements plafonds</v>
      </c>
      <c r="B54" s="876">
        <f ca="1">Décomposition!T246</f>
        <v>10.081837</v>
      </c>
      <c r="C54" s="876">
        <f ca="1">Décomposition!O246</f>
        <v>4.6392509999999998</v>
      </c>
      <c r="D54" s="876">
        <f ca="1">Décomposition!P246</f>
        <v>0</v>
      </c>
      <c r="E54" s="876">
        <f ca="1">Décomposition!Q246</f>
        <v>5.0409185000000001</v>
      </c>
      <c r="F54" s="876">
        <f ca="1">Décomposition!R246</f>
        <v>0</v>
      </c>
      <c r="G54" s="876">
        <f ca="1">Décomposition!S246</f>
        <v>0.40166750000000001</v>
      </c>
      <c r="J54" s="254" t="str">
        <f t="shared" si="2"/>
        <v>Revetements plafonds</v>
      </c>
      <c r="K54" s="876">
        <f t="shared" ca="1" si="3"/>
        <v>10.081837</v>
      </c>
      <c r="L54" s="876"/>
      <c r="M54" s="876"/>
      <c r="N54" s="876"/>
      <c r="O54" s="876">
        <f t="shared" ca="1" si="4"/>
        <v>10.081837</v>
      </c>
      <c r="P54" s="876"/>
      <c r="Q54" s="876"/>
      <c r="R54" s="876"/>
      <c r="S54" s="254" t="str">
        <f ca="1"/>
        <v>Parois extérieures hors terrain</v>
      </c>
      <c r="T54" s="876">
        <f ca="1"/>
        <v>8.5352239999999995</v>
      </c>
      <c r="U54" s="876">
        <f ca="1"/>
        <v>0</v>
      </c>
      <c r="V54" s="876">
        <f ca="1"/>
        <v>0</v>
      </c>
      <c r="W54" s="876">
        <f ca="1"/>
        <v>8.5352239999999995</v>
      </c>
      <c r="X54" s="876">
        <f ca="1"/>
        <v>0</v>
      </c>
      <c r="Y54" s="876">
        <f ca="1"/>
        <v>0</v>
      </c>
      <c r="Z54" s="876">
        <f t="shared" ca="1" si="0"/>
        <v>0.99390159436533598</v>
      </c>
      <c r="AA54" s="876"/>
    </row>
    <row r="55" spans="1:27">
      <c r="A55" s="793" t="str">
        <f>Décomposition!D257</f>
        <v>Installations électriques</v>
      </c>
      <c r="B55" s="876">
        <f>Décomposition!T257</f>
        <v>25.92</v>
      </c>
      <c r="C55" s="876">
        <f>Décomposition!O257</f>
        <v>9.5399999999999991</v>
      </c>
      <c r="D55" s="876">
        <f>Décomposition!P257</f>
        <v>0</v>
      </c>
      <c r="E55" s="876">
        <f>Décomposition!Q257</f>
        <v>12.959999999999999</v>
      </c>
      <c r="F55" s="876">
        <f>Décomposition!R257</f>
        <v>0</v>
      </c>
      <c r="G55" s="876">
        <f>Décomposition!S257</f>
        <v>3.42</v>
      </c>
      <c r="J55" s="254" t="str">
        <f t="shared" si="2"/>
        <v>Installations électriques</v>
      </c>
      <c r="K55" s="876">
        <f t="shared" si="2"/>
        <v>25.92</v>
      </c>
      <c r="L55" s="876"/>
      <c r="M55" s="876"/>
      <c r="N55" s="876"/>
      <c r="O55" s="876"/>
      <c r="P55" s="876">
        <f>K55</f>
        <v>25.92</v>
      </c>
      <c r="Q55" s="876"/>
      <c r="R55" s="876"/>
      <c r="S55" s="254" t="str">
        <f ca="1"/>
        <v>Balcons, avant-toits</v>
      </c>
      <c r="T55" s="876">
        <f ca="1"/>
        <v>4.7492419999999997</v>
      </c>
      <c r="U55" s="876">
        <f ca="1"/>
        <v>0</v>
      </c>
      <c r="V55" s="876">
        <f ca="1"/>
        <v>0</v>
      </c>
      <c r="W55" s="876">
        <f ca="1"/>
        <v>0</v>
      </c>
      <c r="X55" s="876">
        <f ca="1"/>
        <v>4.7492419999999997</v>
      </c>
      <c r="Y55" s="876">
        <f ca="1"/>
        <v>0</v>
      </c>
      <c r="Z55" s="876">
        <f t="shared" ca="1" si="0"/>
        <v>1.0000000000000002</v>
      </c>
      <c r="AA55" s="876"/>
    </row>
    <row r="56" spans="1:27">
      <c r="A56" s="793" t="str">
        <f>Décomposition!D260</f>
        <v>Installations techniques de chauffage</v>
      </c>
      <c r="B56" s="876">
        <f>Décomposition!T260</f>
        <v>43.414029474203161</v>
      </c>
      <c r="C56" s="876">
        <f>Décomposition!O260</f>
        <v>17.691171875000002</v>
      </c>
      <c r="D56" s="876">
        <f>Décomposition!P260</f>
        <v>0.11925982473438507</v>
      </c>
      <c r="E56" s="876">
        <f>Décomposition!Q260</f>
        <v>10.625</v>
      </c>
      <c r="F56" s="876">
        <f>Décomposition!R260</f>
        <v>11.022384824734385</v>
      </c>
      <c r="G56" s="876">
        <f>Décomposition!S260</f>
        <v>3.9562129497343852</v>
      </c>
      <c r="J56" s="254" t="str">
        <f t="shared" si="2"/>
        <v>Installations techniques de chauffage</v>
      </c>
      <c r="K56" s="876">
        <f t="shared" si="2"/>
        <v>43.414029474203161</v>
      </c>
      <c r="L56" s="876"/>
      <c r="M56" s="876"/>
      <c r="N56" s="876"/>
      <c r="O56" s="876"/>
      <c r="P56" s="876">
        <f t="shared" ref="P56:P58" si="5">K56</f>
        <v>43.414029474203161</v>
      </c>
      <c r="Q56" s="876"/>
      <c r="R56" s="876"/>
      <c r="S56" s="254" t="str">
        <f ca="1"/>
        <v>Toitures souterraines</v>
      </c>
      <c r="T56" s="876">
        <f ca="1"/>
        <v>0</v>
      </c>
      <c r="U56" s="876">
        <f ca="1"/>
        <v>0</v>
      </c>
      <c r="V56" s="876">
        <f ca="1"/>
        <v>0</v>
      </c>
      <c r="W56" s="876">
        <f ca="1"/>
        <v>0</v>
      </c>
      <c r="X56" s="876">
        <f ca="1"/>
        <v>0</v>
      </c>
      <c r="Y56" s="876">
        <f ca="1"/>
        <v>0</v>
      </c>
      <c r="Z56" s="876">
        <f t="shared" ca="1" si="0"/>
        <v>1.0000000000000002</v>
      </c>
      <c r="AA56" s="876"/>
    </row>
    <row r="57" spans="1:27">
      <c r="A57" s="793" t="str">
        <f>Décomposition!D266</f>
        <v>Installations de ventilation et de conditionnement d'air</v>
      </c>
      <c r="B57" s="876">
        <f>Décomposition!T266</f>
        <v>37.165999999999997</v>
      </c>
      <c r="C57" s="876">
        <f>Décomposition!O266</f>
        <v>18.119999999999997</v>
      </c>
      <c r="D57" s="876">
        <f>Décomposition!P266</f>
        <v>0</v>
      </c>
      <c r="E57" s="876">
        <f>Décomposition!Q266</f>
        <v>18.582999999999998</v>
      </c>
      <c r="F57" s="876">
        <f>Décomposition!R266</f>
        <v>0</v>
      </c>
      <c r="G57" s="876">
        <f>Décomposition!S266</f>
        <v>0.46300000000000002</v>
      </c>
      <c r="J57" s="254" t="str">
        <f t="shared" si="2"/>
        <v>Installations de ventilation et de conditionnement d'air</v>
      </c>
      <c r="K57" s="876">
        <f t="shared" si="2"/>
        <v>37.165999999999997</v>
      </c>
      <c r="L57" s="876"/>
      <c r="M57" s="876"/>
      <c r="N57" s="876"/>
      <c r="O57" s="876"/>
      <c r="P57" s="876">
        <f t="shared" si="5"/>
        <v>37.165999999999997</v>
      </c>
      <c r="Q57" s="876"/>
      <c r="R57" s="876"/>
      <c r="S57" s="254">
        <f ca="1"/>
        <v>0</v>
      </c>
      <c r="T57" s="876">
        <f ca="1"/>
        <v>0</v>
      </c>
      <c r="U57" s="876">
        <f ca="1"/>
        <v>0</v>
      </c>
      <c r="V57" s="876">
        <f ca="1"/>
        <v>0</v>
      </c>
      <c r="W57" s="876">
        <f ca="1"/>
        <v>0</v>
      </c>
      <c r="X57" s="876">
        <f ca="1"/>
        <v>0</v>
      </c>
      <c r="Y57" s="876">
        <f ca="1"/>
        <v>0</v>
      </c>
      <c r="Z57" s="876">
        <f t="shared" ca="1" si="0"/>
        <v>1.0000000000000002</v>
      </c>
      <c r="AA57" s="876"/>
    </row>
    <row r="58" spans="1:27" ht="16.5" thickBot="1">
      <c r="A58" s="793" t="str">
        <f>Décomposition!D269</f>
        <v>Installations techniques d'eau</v>
      </c>
      <c r="B58" s="876">
        <f>Décomposition!T269</f>
        <v>25.08</v>
      </c>
      <c r="C58" s="876">
        <f>Décomposition!O269</f>
        <v>11</v>
      </c>
      <c r="D58" s="876">
        <f>Décomposition!P269</f>
        <v>0</v>
      </c>
      <c r="E58" s="876">
        <f>Décomposition!Q269</f>
        <v>12.54</v>
      </c>
      <c r="F58" s="876">
        <f>Décomposition!R269</f>
        <v>0</v>
      </c>
      <c r="G58" s="876">
        <f>Décomposition!S269</f>
        <v>1.54</v>
      </c>
      <c r="J58" s="254" t="str">
        <f t="shared" si="2"/>
        <v>Installations techniques d'eau</v>
      </c>
      <c r="K58" s="876">
        <f t="shared" si="2"/>
        <v>25.08</v>
      </c>
      <c r="L58" s="876"/>
      <c r="M58" s="876"/>
      <c r="N58" s="876"/>
      <c r="O58" s="876"/>
      <c r="P58" s="876">
        <f t="shared" si="5"/>
        <v>25.08</v>
      </c>
      <c r="Q58" s="876"/>
      <c r="R58" s="876"/>
      <c r="S58" s="254">
        <f ca="1"/>
        <v>0</v>
      </c>
      <c r="T58" s="876">
        <f ca="1"/>
        <v>0</v>
      </c>
      <c r="U58" s="876">
        <f ca="1"/>
        <v>0</v>
      </c>
      <c r="V58" s="876">
        <f ca="1"/>
        <v>0</v>
      </c>
      <c r="W58" s="876">
        <f ca="1"/>
        <v>0</v>
      </c>
      <c r="X58" s="876">
        <f ca="1"/>
        <v>0</v>
      </c>
      <c r="Y58" s="876">
        <f ca="1"/>
        <v>0</v>
      </c>
      <c r="Z58" s="876">
        <f t="shared" ca="1" si="0"/>
        <v>1.0000000000000002</v>
      </c>
      <c r="AA58" s="876"/>
    </row>
    <row r="59" spans="1:27" ht="16.5" thickBot="1">
      <c r="C59" s="285" t="str">
        <f>'Outil simplifié'!$AC$30</f>
        <v>Budget "upfront" (fin de chantier)</v>
      </c>
      <c r="D59" s="285" t="str">
        <f>'Outil simplifié'!$B$63</f>
        <v>Impact remplacements (20 ans)</v>
      </c>
      <c r="E59" s="285" t="str">
        <f>'Outil simplifié'!$B$64</f>
        <v>Impact remplacements (30 ans)</v>
      </c>
      <c r="F59" s="285" t="str">
        <f>'Outil simplifié'!$B$65</f>
        <v>Impact remplacements (40 ans)</v>
      </c>
      <c r="G59" s="285" t="str">
        <f>'Outil simplifié'!$B$66</f>
        <v>Impact fin de vie (60ans)</v>
      </c>
      <c r="J59" s="255"/>
      <c r="K59" s="875"/>
      <c r="L59" s="875"/>
      <c r="M59" s="875"/>
      <c r="N59" s="875"/>
      <c r="O59" s="875"/>
      <c r="P59" s="875"/>
      <c r="Q59" s="875"/>
      <c r="R59" s="875"/>
      <c r="S59" s="255"/>
      <c r="T59" s="171">
        <f ca="1">SUM(T38:T58)</f>
        <v>778.7678099017586</v>
      </c>
      <c r="U59" s="171"/>
      <c r="V59" s="171"/>
      <c r="W59" s="171"/>
      <c r="X59" s="171"/>
      <c r="Y59" s="171"/>
      <c r="Z59" s="171"/>
      <c r="AA59" s="172"/>
    </row>
    <row r="60" spans="1:27">
      <c r="A60" t="str">
        <f>'Outil détaillé'!B5</f>
        <v>Travaux préparatoires B06 / B07.02</v>
      </c>
      <c r="B60" s="875">
        <f>B38</f>
        <v>18.349318559466511</v>
      </c>
      <c r="C60" s="875">
        <f t="shared" ref="C60:G60" si="6">C38</f>
        <v>18.349318559466511</v>
      </c>
      <c r="D60" s="875">
        <f t="shared" si="6"/>
        <v>0</v>
      </c>
      <c r="E60" s="875">
        <f t="shared" si="6"/>
        <v>0</v>
      </c>
      <c r="F60" s="875">
        <f t="shared" si="6"/>
        <v>0</v>
      </c>
      <c r="G60" s="875">
        <f t="shared" si="6"/>
        <v>0</v>
      </c>
    </row>
    <row r="61" spans="1:27">
      <c r="A61" t="str">
        <f>'Outil détaillé'!B10</f>
        <v>Enveloppe du bâtiment souterraine C01 / 02 / 04 - E01 - F01</v>
      </c>
      <c r="B61" s="876">
        <f t="shared" ref="B61:G61" ca="1" si="7">B39+B40+B41</f>
        <v>158.8405430106157</v>
      </c>
      <c r="C61" s="876">
        <f t="shared" ca="1" si="7"/>
        <v>138.80723118895966</v>
      </c>
      <c r="D61" s="876">
        <f t="shared" ca="1" si="7"/>
        <v>0</v>
      </c>
      <c r="E61" s="876">
        <f t="shared" ca="1" si="7"/>
        <v>0</v>
      </c>
      <c r="F61" s="876">
        <f t="shared" ca="1" si="7"/>
        <v>0</v>
      </c>
      <c r="G61" s="876">
        <f t="shared" ca="1" si="7"/>
        <v>20.033311821656049</v>
      </c>
    </row>
    <row r="62" spans="1:27">
      <c r="B62" s="876"/>
      <c r="C62" s="876"/>
      <c r="D62" s="876"/>
      <c r="E62" s="876"/>
      <c r="F62" s="876"/>
      <c r="G62" s="876"/>
    </row>
    <row r="63" spans="1:27">
      <c r="B63" s="876"/>
      <c r="C63" s="876"/>
      <c r="D63" s="876"/>
      <c r="E63" s="876"/>
      <c r="F63" s="876"/>
      <c r="G63" s="876"/>
    </row>
    <row r="64" spans="1:27">
      <c r="A64" t="str">
        <f>'Outil détaillé'!B17</f>
        <v>Enveloppe du bâtiment hors terrain C02 / 04 - E02 / 03 - F01 / 02</v>
      </c>
      <c r="B64" s="876">
        <f t="shared" ref="B64:G64" ca="1" si="8">SUM(B42:B46)</f>
        <v>198.72476728876057</v>
      </c>
      <c r="C64" s="876">
        <f t="shared" ca="1" si="8"/>
        <v>96.48938083269212</v>
      </c>
      <c r="D64" s="876">
        <f t="shared" ca="1" si="8"/>
        <v>0</v>
      </c>
      <c r="E64" s="876">
        <f t="shared" ca="1" si="8"/>
        <v>38.602935000000002</v>
      </c>
      <c r="F64" s="876">
        <f t="shared" ca="1" si="8"/>
        <v>50.763394144380285</v>
      </c>
      <c r="G64" s="876">
        <f t="shared" ca="1" si="8"/>
        <v>12.869057311688184</v>
      </c>
    </row>
    <row r="65" spans="1:7">
      <c r="B65" s="876"/>
      <c r="C65" s="876"/>
      <c r="D65" s="876"/>
      <c r="E65" s="876"/>
      <c r="F65" s="876"/>
      <c r="G65" s="876"/>
    </row>
    <row r="66" spans="1:7">
      <c r="B66" s="876"/>
      <c r="C66" s="876"/>
      <c r="D66" s="876"/>
      <c r="E66" s="876"/>
      <c r="F66" s="876"/>
      <c r="G66" s="876"/>
    </row>
    <row r="67" spans="1:7">
      <c r="B67" s="876"/>
      <c r="C67" s="876"/>
      <c r="D67" s="876"/>
      <c r="E67" s="876"/>
      <c r="F67" s="876"/>
      <c r="G67" s="876"/>
    </row>
    <row r="68" spans="1:7">
      <c r="B68" s="876"/>
      <c r="C68" s="876"/>
      <c r="D68" s="876"/>
      <c r="E68" s="876"/>
      <c r="F68" s="876"/>
      <c r="G68" s="876"/>
    </row>
    <row r="69" spans="1:7">
      <c r="A69" t="str">
        <f>'Outil détaillé'!B30</f>
        <v>Eléments de construction intérieurs et extérieurs C02 / 04 - G02 / 03 / 04</v>
      </c>
      <c r="B69" s="876">
        <f t="shared" ref="B69:G69" ca="1" si="9">SUM(B47:B54)</f>
        <v>271.27315156871276</v>
      </c>
      <c r="C69" s="876">
        <f t="shared" ca="1" si="9"/>
        <v>160.85658291942676</v>
      </c>
      <c r="D69" s="876">
        <f t="shared" ca="1" si="9"/>
        <v>0</v>
      </c>
      <c r="E69" s="876">
        <f t="shared" ca="1" si="9"/>
        <v>89.84397068860001</v>
      </c>
      <c r="F69" s="876">
        <f t="shared" ca="1" si="9"/>
        <v>2.3746209999999999</v>
      </c>
      <c r="G69" s="876">
        <f t="shared" ca="1" si="9"/>
        <v>18.197976960685988</v>
      </c>
    </row>
    <row r="70" spans="1:7">
      <c r="B70" s="876"/>
      <c r="C70" s="876"/>
      <c r="D70" s="876"/>
      <c r="E70" s="876"/>
      <c r="F70" s="876"/>
      <c r="G70" s="876"/>
    </row>
    <row r="71" spans="1:7">
      <c r="B71" s="876"/>
      <c r="C71" s="876"/>
      <c r="D71" s="876"/>
      <c r="E71" s="876"/>
      <c r="F71" s="876"/>
      <c r="G71" s="876"/>
    </row>
    <row r="72" spans="1:7">
      <c r="B72" s="876"/>
      <c r="C72" s="876"/>
      <c r="D72" s="876"/>
      <c r="E72" s="876"/>
      <c r="F72" s="876"/>
      <c r="G72" s="876"/>
    </row>
    <row r="73" spans="1:7">
      <c r="B73" s="876"/>
      <c r="C73" s="876"/>
      <c r="D73" s="876"/>
      <c r="E73" s="876"/>
      <c r="F73" s="876"/>
      <c r="G73" s="876"/>
    </row>
    <row r="74" spans="1:7">
      <c r="B74" s="876"/>
      <c r="C74" s="876"/>
      <c r="D74" s="876"/>
      <c r="E74" s="876"/>
      <c r="F74" s="876"/>
      <c r="G74" s="876"/>
    </row>
    <row r="75" spans="1:7">
      <c r="B75" s="876"/>
      <c r="C75" s="876"/>
      <c r="D75" s="876"/>
      <c r="E75" s="876"/>
      <c r="F75" s="876"/>
      <c r="G75" s="876"/>
    </row>
    <row r="76" spans="1:7">
      <c r="B76" s="876"/>
      <c r="C76" s="876"/>
      <c r="D76" s="876"/>
      <c r="E76" s="876"/>
      <c r="F76" s="876"/>
      <c r="G76" s="876"/>
    </row>
    <row r="77" spans="1:7">
      <c r="A77" t="str">
        <f>'Outil détaillé'!B59</f>
        <v>Installations CVSE D01 / 05 / 07 / 08 / 12</v>
      </c>
      <c r="B77" s="876">
        <f>SUM(B55:B58)</f>
        <v>131.58002947420317</v>
      </c>
      <c r="C77" s="876">
        <f t="shared" ref="C77:G77" si="10">SUM(C55:C58)</f>
        <v>56.351171874999999</v>
      </c>
      <c r="D77" s="876">
        <f t="shared" si="10"/>
        <v>0.11925982473438507</v>
      </c>
      <c r="E77" s="876">
        <f t="shared" si="10"/>
        <v>54.707999999999998</v>
      </c>
      <c r="F77" s="876">
        <f t="shared" si="10"/>
        <v>11.022384824734385</v>
      </c>
      <c r="G77" s="876">
        <f t="shared" si="10"/>
        <v>9.3792129497343844</v>
      </c>
    </row>
    <row r="78" spans="1:7">
      <c r="B78" s="876"/>
      <c r="C78" s="876"/>
      <c r="D78" s="876"/>
      <c r="E78" s="876"/>
      <c r="F78" s="876"/>
      <c r="G78" s="876"/>
    </row>
    <row r="79" spans="1:7">
      <c r="B79" s="876"/>
      <c r="C79" s="876"/>
      <c r="D79" s="876"/>
      <c r="E79" s="876"/>
      <c r="F79" s="876"/>
      <c r="G79" s="876"/>
    </row>
    <row r="80" spans="1:7" ht="16.5" thickBot="1">
      <c r="B80" s="876"/>
      <c r="C80" s="876"/>
      <c r="D80" s="876"/>
      <c r="E80" s="876"/>
      <c r="F80" s="876"/>
      <c r="G80" s="876"/>
    </row>
    <row r="81" spans="1:7" ht="16.5" thickBot="1">
      <c r="A81" s="290" t="s">
        <v>191</v>
      </c>
      <c r="B81" s="291"/>
      <c r="C81" s="877">
        <f>'Outil simplifié'!AE30</f>
        <v>500.09781828949548</v>
      </c>
      <c r="D81" s="877">
        <f>'Outil simplifié'!AE31</f>
        <v>17.571004426387681</v>
      </c>
      <c r="E81" s="877">
        <f>'Outil simplifié'!AE32</f>
        <v>122.99703098471375</v>
      </c>
      <c r="F81" s="877">
        <f>'Outil simplifié'!AE33</f>
        <v>35.142008852775362</v>
      </c>
      <c r="G81" s="877">
        <f>'Outil simplifié'!AE34</f>
        <v>84.47764187324826</v>
      </c>
    </row>
  </sheetData>
  <customSheetViews>
    <customSheetView guid="{B32447E2-AB5B-4CBB-881B-FF11349CA4D6}">
      <selection activeCell="I13" sqref="I13"/>
      <pageMargins left="0" right="0" top="0" bottom="0" header="0" footer="0"/>
    </customSheetView>
    <customSheetView guid="{9FA74287-E657-475B-BF4B-3C8C757714AE}">
      <selection activeCell="I13" sqref="I13"/>
      <pageMargins left="0" right="0" top="0" bottom="0" header="0" footer="0"/>
    </customSheetView>
    <customSheetView guid="{54A7C567-FA7D-467E-B353-ECB5E61AE756}" scale="55">
      <selection activeCell="S9" sqref="S9"/>
      <pageMargins left="0" right="0" top="0" bottom="0" header="0" footer="0"/>
    </customSheetView>
  </customSheetViews>
  <mergeCells count="4">
    <mergeCell ref="B19:B22"/>
    <mergeCell ref="B6:B10"/>
    <mergeCell ref="B3:B5"/>
    <mergeCell ref="B11:B18"/>
  </mergeCells>
  <pageMargins left="0" right="0" top="0" bottom="0" header="0" footer="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4994-D71C-483F-9C41-636F8B1B5BF8}">
  <dimension ref="A1:W155"/>
  <sheetViews>
    <sheetView workbookViewId="0"/>
  </sheetViews>
  <sheetFormatPr baseColWidth="10" defaultRowHeight="15.75" outlineLevelCol="1"/>
  <cols>
    <col min="1" max="1" width="33.375" bestFit="1" customWidth="1"/>
    <col min="2" max="2" width="51.375" bestFit="1" customWidth="1"/>
    <col min="3" max="5" width="43.125" customWidth="1"/>
    <col min="6" max="6" width="14.25" customWidth="1"/>
    <col min="7" max="7" width="6.5" customWidth="1"/>
    <col min="8" max="8" width="9.625" bestFit="1" customWidth="1"/>
    <col min="9" max="9" width="2.75" bestFit="1" customWidth="1"/>
    <col min="10" max="10" width="10.75" customWidth="1"/>
    <col min="11" max="11" width="10.75" customWidth="1" outlineLevel="1"/>
    <col min="12" max="12" width="10.875" customWidth="1" outlineLevel="1"/>
    <col min="13" max="13" width="10.75" bestFit="1" customWidth="1"/>
    <col min="14" max="14" width="10.875" bestFit="1" customWidth="1"/>
    <col min="15" max="15" width="12.875" customWidth="1" outlineLevel="1"/>
    <col min="16" max="16" width="10.75" customWidth="1" outlineLevel="1"/>
    <col min="17" max="17" width="10.875" customWidth="1" outlineLevel="1"/>
  </cols>
  <sheetData>
    <row r="1" spans="1:20" ht="75">
      <c r="A1" s="3"/>
      <c r="B1" s="1" t="s">
        <v>502</v>
      </c>
      <c r="C1" s="1" t="s">
        <v>503</v>
      </c>
      <c r="D1" s="1" t="s">
        <v>504</v>
      </c>
      <c r="E1" s="1" t="s">
        <v>4444</v>
      </c>
      <c r="F1" s="1" t="s">
        <v>505</v>
      </c>
      <c r="G1" s="1" t="s">
        <v>506</v>
      </c>
      <c r="H1" s="125" t="s">
        <v>565</v>
      </c>
      <c r="I1" s="3"/>
      <c r="J1" s="125" t="s">
        <v>508</v>
      </c>
      <c r="K1" s="125" t="s">
        <v>509</v>
      </c>
      <c r="L1" s="125" t="s">
        <v>510</v>
      </c>
      <c r="M1" s="1243" t="s">
        <v>511</v>
      </c>
      <c r="N1" s="125" t="s">
        <v>512</v>
      </c>
      <c r="O1" s="125" t="s">
        <v>513</v>
      </c>
      <c r="P1" s="125" t="s">
        <v>514</v>
      </c>
      <c r="Q1" s="125" t="s">
        <v>515</v>
      </c>
      <c r="S1" s="536"/>
      <c r="T1" s="536"/>
    </row>
    <row r="2" spans="1:20">
      <c r="A2" s="964"/>
      <c r="B2" s="965"/>
      <c r="C2" s="965"/>
      <c r="D2" s="965"/>
      <c r="E2" s="965"/>
      <c r="F2" s="965"/>
      <c r="G2" s="965">
        <v>0</v>
      </c>
      <c r="H2" s="966">
        <v>0</v>
      </c>
      <c r="I2" s="966">
        <v>0</v>
      </c>
      <c r="J2" s="966">
        <v>0</v>
      </c>
      <c r="K2" s="966">
        <v>0</v>
      </c>
      <c r="L2" s="966">
        <v>0</v>
      </c>
      <c r="M2" s="966">
        <v>0</v>
      </c>
      <c r="N2" s="966">
        <v>0</v>
      </c>
      <c r="O2" s="966">
        <v>0</v>
      </c>
      <c r="P2" s="966">
        <v>0</v>
      </c>
      <c r="Q2" s="966">
        <v>0</v>
      </c>
      <c r="S2" s="536"/>
      <c r="T2" s="536"/>
    </row>
    <row r="3" spans="1:20">
      <c r="A3" s="132" t="s">
        <v>3761</v>
      </c>
      <c r="B3" s="132"/>
      <c r="C3" s="132"/>
      <c r="D3" s="132"/>
      <c r="E3" s="132"/>
      <c r="F3" s="132"/>
      <c r="G3" s="132"/>
      <c r="H3" s="134"/>
      <c r="I3" s="134"/>
      <c r="J3" s="134"/>
      <c r="K3" s="134"/>
      <c r="L3" s="134"/>
      <c r="M3" s="134"/>
      <c r="N3" s="134"/>
      <c r="O3" s="134"/>
      <c r="P3" s="134"/>
      <c r="Q3" s="134"/>
      <c r="S3" s="133"/>
      <c r="T3" s="668"/>
    </row>
    <row r="4" spans="1:20">
      <c r="A4" s="1"/>
      <c r="B4" s="1"/>
      <c r="C4" s="1"/>
      <c r="D4" s="1"/>
      <c r="E4" s="1"/>
      <c r="F4" s="1"/>
      <c r="G4" s="1"/>
      <c r="H4" s="125"/>
      <c r="I4" s="1"/>
      <c r="J4" s="125"/>
      <c r="K4" s="125"/>
      <c r="L4" s="125"/>
      <c r="M4" s="125"/>
      <c r="N4" s="125"/>
      <c r="O4" s="125"/>
      <c r="P4" s="125"/>
      <c r="Q4" s="125"/>
      <c r="S4" s="133"/>
      <c r="T4" s="134"/>
    </row>
    <row r="5" spans="1:20">
      <c r="A5" s="1096" t="s">
        <v>4039</v>
      </c>
      <c r="B5" s="1907" t="s">
        <v>3771</v>
      </c>
      <c r="C5" s="267" t="s">
        <v>3774</v>
      </c>
      <c r="D5" s="267" t="str">
        <f>VLOOKUP(G5,'Transporte Transports'!$A$10:$AD$432,27,FALSE)</f>
        <v>Excavations mécaniques, en moyenne</v>
      </c>
      <c r="E5" s="1590"/>
      <c r="F5" s="267" t="str">
        <f>VLOOKUP(G5,'Transporte Transports'!$A$10:$AD$432,5,FALSE)</f>
        <v>m3</v>
      </c>
      <c r="G5" s="267" t="s">
        <v>519</v>
      </c>
      <c r="H5" s="1245">
        <v>0.4</v>
      </c>
      <c r="I5" s="166"/>
      <c r="J5" s="1241">
        <v>60</v>
      </c>
      <c r="K5" s="167">
        <f>$H5*_xlfn.XLOOKUP($G5,'Transporte Transports'!$A:$A,'Transporte Transports'!R:R,0,0)</f>
        <v>0.65600000000000003</v>
      </c>
      <c r="L5" s="1567"/>
      <c r="M5" s="1244">
        <f>$H5*_xlfn.XLOOKUP($G5,'Transporte Transports'!$A:$A,'Transporte Transports'!V:V,0,0)</f>
        <v>0.17320000000000002</v>
      </c>
      <c r="N5" s="530"/>
      <c r="O5" s="530"/>
      <c r="P5" s="530">
        <f>$H5*_xlfn.XLOOKUP($G5,'Baumaterialien Matériaux'!$A:$A,'Baumaterialien Matériaux'!AG:AG,0,0)</f>
        <v>0</v>
      </c>
      <c r="Q5" s="1110">
        <f>$H5*_xlfn.XLOOKUP($G5,'Baumaterialien Matériaux'!$A:$A,'Baumaterialien Matériaux'!AH:AH,0,0)</f>
        <v>0</v>
      </c>
      <c r="S5" s="133"/>
      <c r="T5" s="1910"/>
    </row>
    <row r="6" spans="1:20">
      <c r="A6" s="159"/>
      <c r="B6" s="1908"/>
      <c r="C6" s="267" t="s">
        <v>4032</v>
      </c>
      <c r="D6" s="267" t="str">
        <f>VLOOKUP(G6,'Baumaterialien Matériaux'!$A$10:$AD$432,30,FALSE)</f>
        <v>Gravier concassé 1</v>
      </c>
      <c r="E6" s="1590"/>
      <c r="F6" s="267" t="str">
        <f>_xlfn.XLOOKUP($G6,'Baumaterialien Matériaux'!$A:$A,'Baumaterialien Matériaux'!G:G,0,0)</f>
        <v>kg</v>
      </c>
      <c r="G6" s="267" t="s">
        <v>816</v>
      </c>
      <c r="H6" s="259">
        <f>1500*0.3</f>
        <v>450</v>
      </c>
      <c r="I6" s="166"/>
      <c r="J6" s="1241">
        <v>60</v>
      </c>
      <c r="K6" s="1567">
        <f>$H6*_xlfn.XLOOKUP($G6,'Baumaterialien Matériaux'!$A:$A,'Baumaterialien Matériaux'!V:V,0,0)</f>
        <v>14.444999999999999</v>
      </c>
      <c r="L6" s="1567">
        <f>$H6*_xlfn.XLOOKUP($G6,'Baumaterialien Matériaux'!$A:$A,'Baumaterialien Matériaux'!Y:Y,0,0)</f>
        <v>23.67</v>
      </c>
      <c r="M6" s="530">
        <f>$H6*_xlfn.XLOOKUP($G6,'Baumaterialien Matériaux'!$A:$A,'Baumaterialien Matériaux'!AA:AA,0,0)</f>
        <v>2.2544999999999997</v>
      </c>
      <c r="N6" s="530">
        <f>$H6*_xlfn.XLOOKUP($G6,'Baumaterialien Matériaux'!$A:$A,'Baumaterialien Matériaux'!AB:AB,0,0)</f>
        <v>5.67</v>
      </c>
      <c r="O6" s="530">
        <f>$H6*_xlfn.XLOOKUP($G6,'Baumaterialien Matériaux'!$A:$A,'Baumaterialien Matériaux'!AC:AC,0,0)*44/12</f>
        <v>0</v>
      </c>
      <c r="P6" s="530">
        <f>$H6*_xlfn.XLOOKUP($G6,'Baumaterialien Matériaux'!$A:$A,'Baumaterialien Matériaux'!AG:AG,0,0)</f>
        <v>0</v>
      </c>
      <c r="Q6" s="1110">
        <f>$H6*_xlfn.XLOOKUP($G6,'Baumaterialien Matériaux'!$A:$A,'Baumaterialien Matériaux'!AH:AH,0,0)</f>
        <v>0</v>
      </c>
      <c r="S6" s="133"/>
      <c r="T6" s="1910"/>
    </row>
    <row r="7" spans="1:20">
      <c r="A7" s="159"/>
      <c r="B7" s="1907"/>
      <c r="C7" s="137" t="s">
        <v>4034</v>
      </c>
      <c r="D7" s="137" t="s">
        <v>4033</v>
      </c>
      <c r="E7" s="1593"/>
      <c r="F7" s="137" t="s">
        <v>268</v>
      </c>
      <c r="G7" s="1577" t="s">
        <v>1183</v>
      </c>
      <c r="H7" s="530">
        <f>2400*0.07</f>
        <v>168.00000000000003</v>
      </c>
      <c r="I7" s="166"/>
      <c r="J7" s="1241">
        <v>60</v>
      </c>
      <c r="K7" s="1567">
        <f>$H7*3.97*0.28</f>
        <v>186.74880000000007</v>
      </c>
      <c r="L7" s="1567">
        <f>$H7*_xlfn.XLOOKUP($G7,'Baumaterialien Matériaux'!$A:$A,'Baumaterialien Matériaux'!Y:Y,0,0)</f>
        <v>8.6184000000000012</v>
      </c>
      <c r="M7" s="1248">
        <f>$H7*0.082767</f>
        <v>13.904856000000001</v>
      </c>
      <c r="N7" s="530">
        <f>0.019*H7</f>
        <v>3.1920000000000006</v>
      </c>
      <c r="O7" s="530">
        <f>$H7*_xlfn.XLOOKUP($G7,'Baumaterialien Matériaux'!$A:$A,'Baumaterialien Matériaux'!AC:AC,0,0)*44/12</f>
        <v>0</v>
      </c>
      <c r="P7" s="530">
        <f>$H7*_xlfn.XLOOKUP($G7,'Baumaterialien Matériaux'!$A:$A,'Baumaterialien Matériaux'!AG:AG,0,0)</f>
        <v>0</v>
      </c>
      <c r="Q7" s="1110">
        <f>$H7*_xlfn.XLOOKUP($G7,'Baumaterialien Matériaux'!$A:$A,'Baumaterialien Matériaux'!AH:AH,0,0)</f>
        <v>0</v>
      </c>
      <c r="S7" s="133"/>
      <c r="T7" s="1910"/>
    </row>
    <row r="8" spans="1:20" ht="16.5" thickBot="1">
      <c r="A8" s="572"/>
      <c r="B8" s="619"/>
      <c r="C8" s="590"/>
      <c r="D8" s="590"/>
      <c r="E8" s="590"/>
      <c r="F8" s="590"/>
      <c r="G8" s="590"/>
      <c r="H8" s="1103"/>
      <c r="I8" s="590"/>
      <c r="J8" s="1246"/>
      <c r="K8" s="612"/>
      <c r="L8" s="612"/>
      <c r="M8" s="853">
        <f>SUM(M5:M7)</f>
        <v>16.332556</v>
      </c>
      <c r="N8" s="853">
        <f>SUM(N5:N7)</f>
        <v>8.8620000000000001</v>
      </c>
      <c r="O8" s="853">
        <f>SUM(O5:O7)</f>
        <v>0</v>
      </c>
      <c r="P8" s="853">
        <f>SUM(P5:P7)</f>
        <v>0</v>
      </c>
      <c r="Q8" s="853">
        <f>SUM(Q5:Q7)</f>
        <v>0</v>
      </c>
      <c r="S8" s="1190">
        <f>(M8+N8)/J7</f>
        <v>0.41990926666666667</v>
      </c>
      <c r="T8" s="805"/>
    </row>
    <row r="9" spans="1:20" ht="16.5" thickTop="1">
      <c r="A9" s="3"/>
      <c r="B9" s="3"/>
      <c r="C9" s="159"/>
      <c r="D9" s="159"/>
      <c r="E9" s="159"/>
      <c r="F9" s="159"/>
      <c r="G9" s="159"/>
      <c r="H9" s="584"/>
      <c r="I9" s="159"/>
      <c r="J9" s="1573"/>
      <c r="K9" s="2"/>
      <c r="L9" s="2"/>
      <c r="M9" s="990"/>
      <c r="N9" s="990"/>
      <c r="O9" s="990"/>
      <c r="P9" s="990"/>
      <c r="Q9" s="990"/>
      <c r="S9" s="1190"/>
      <c r="T9" s="805"/>
    </row>
    <row r="10" spans="1:20">
      <c r="A10" s="1096" t="s">
        <v>3762</v>
      </c>
      <c r="B10" s="1913" t="s">
        <v>3775</v>
      </c>
      <c r="C10" s="267" t="s">
        <v>3774</v>
      </c>
      <c r="D10" s="267" t="str">
        <f>VLOOKUP(G10,'Transporte Transports'!$A$10:$AD$432,27,FALSE)</f>
        <v>Excavations mécaniques, en moyenne</v>
      </c>
      <c r="E10" s="1590"/>
      <c r="F10" s="267" t="str">
        <f>VLOOKUP(G10,'Transporte Transports'!$A$10:$AD$432,5,FALSE)</f>
        <v>m3</v>
      </c>
      <c r="G10" s="267" t="s">
        <v>519</v>
      </c>
      <c r="H10" s="259">
        <v>0.4</v>
      </c>
      <c r="I10" s="1096"/>
      <c r="J10" s="1241">
        <v>60</v>
      </c>
      <c r="K10" s="167">
        <f>$H10*_xlfn.XLOOKUP($G10,'Transporte Transports'!$A:$A,'Transporte Transports'!R:R,0,0)</f>
        <v>0.65600000000000003</v>
      </c>
      <c r="L10" s="1567"/>
      <c r="M10" s="1244">
        <f>$H10*_xlfn.XLOOKUP($G10,'Transporte Transports'!$A:$A,'Transporte Transports'!V:V,0,0)</f>
        <v>0.17320000000000002</v>
      </c>
      <c r="N10" s="530"/>
      <c r="O10" s="530"/>
      <c r="P10" s="530">
        <f>$H10*_xlfn.XLOOKUP($G10,'Baumaterialien Matériaux'!$A:$A,'Baumaterialien Matériaux'!AG:AG,0,0)</f>
        <v>0</v>
      </c>
      <c r="Q10" s="1110">
        <f>$H10*_xlfn.XLOOKUP($G10,'Baumaterialien Matériaux'!$A:$A,'Baumaterialien Matériaux'!AH:AH,0,0)</f>
        <v>0</v>
      </c>
      <c r="S10" s="133"/>
      <c r="T10" s="134"/>
    </row>
    <row r="11" spans="1:20">
      <c r="A11" s="159"/>
      <c r="B11" s="1914"/>
      <c r="C11" s="267" t="s">
        <v>3777</v>
      </c>
      <c r="D11" s="267" t="str">
        <f>VLOOKUP(G11,'Baumaterialien Matériaux'!$A$10:$AD$432,30,FALSE)</f>
        <v>Polypropylène (PP)</v>
      </c>
      <c r="E11" s="1590"/>
      <c r="F11" s="267" t="str">
        <f>VLOOKUP(G11,'Baumaterialien Matériaux'!$A$10:$AD$432,7,FALSE)</f>
        <v>kg</v>
      </c>
      <c r="G11" s="267" t="s">
        <v>2436</v>
      </c>
      <c r="H11" s="259">
        <v>0.2</v>
      </c>
      <c r="I11" s="159"/>
      <c r="J11" s="1241">
        <v>60</v>
      </c>
      <c r="K11" s="1567">
        <f>$H11*_xlfn.XLOOKUP($G11,'Baumaterialien Matériaux'!$A:$A,'Baumaterialien Matériaux'!V:V,0,0)</f>
        <v>4.5</v>
      </c>
      <c r="L11" s="1567">
        <f>$H11*_xlfn.XLOOKUP($G11,'Baumaterialien Matériaux'!$A:$A,'Baumaterialien Matériaux'!Y:Y,0,0)</f>
        <v>4.1800000000000004E-2</v>
      </c>
      <c r="M11" s="530">
        <f>$H11*_xlfn.XLOOKUP($G11,'Baumaterialien Matériaux'!$A:$A,'Baumaterialien Matériaux'!AA:AA,0,0)</f>
        <v>0.48</v>
      </c>
      <c r="N11" s="530">
        <f>$H11*_xlfn.XLOOKUP($G11,'Baumaterialien Matériaux'!$A:$A,'Baumaterialien Matériaux'!AB:AB,0,0)</f>
        <v>0.47400000000000003</v>
      </c>
      <c r="O11" s="530">
        <f>$H11*_xlfn.XLOOKUP($G11,'Baumaterialien Matériaux'!$A:$A,'Baumaterialien Matériaux'!AC:AC,0,0)*44/12</f>
        <v>0</v>
      </c>
      <c r="P11" s="530">
        <f>$H11*_xlfn.XLOOKUP($G11,'Baumaterialien Matériaux'!$A:$A,'Baumaterialien Matériaux'!AG:AG,0,0)</f>
        <v>0</v>
      </c>
      <c r="Q11" s="1110">
        <f>$H11*_xlfn.XLOOKUP($G11,'Baumaterialien Matériaux'!$A:$A,'Baumaterialien Matériaux'!AH:AH,0,0)</f>
        <v>0</v>
      </c>
      <c r="S11" s="133"/>
      <c r="T11" s="134"/>
    </row>
    <row r="12" spans="1:20">
      <c r="A12" s="159"/>
      <c r="B12" s="1915"/>
      <c r="C12" s="267" t="s">
        <v>3773</v>
      </c>
      <c r="D12" s="267" t="str">
        <f>VLOOKUP(G12,'Baumaterialien Matériaux'!$A$10:$AD$432,30,FALSE)</f>
        <v>Gravier concassé 1</v>
      </c>
      <c r="E12" s="1590"/>
      <c r="F12" s="267" t="str">
        <f>VLOOKUP(G12,'Baumaterialien Matériaux'!$A$10:$AD$432,7,FALSE)</f>
        <v>kg</v>
      </c>
      <c r="G12" s="267" t="s">
        <v>816</v>
      </c>
      <c r="H12" s="259">
        <f>1450*0.4</f>
        <v>580</v>
      </c>
      <c r="I12" s="159"/>
      <c r="J12" s="1241">
        <v>60</v>
      </c>
      <c r="K12" s="1567">
        <f>$H12*_xlfn.XLOOKUP($G12,'Baumaterialien Matériaux'!$A:$A,'Baumaterialien Matériaux'!V:V,0,0)</f>
        <v>18.617999999999999</v>
      </c>
      <c r="L12" s="1567">
        <f>$H12*_xlfn.XLOOKUP($G12,'Baumaterialien Matériaux'!$A:$A,'Baumaterialien Matériaux'!Y:Y,0,0)</f>
        <v>30.507999999999999</v>
      </c>
      <c r="M12" s="530">
        <f>$H12*_xlfn.XLOOKUP($G12,'Baumaterialien Matériaux'!$A:$A,'Baumaterialien Matériaux'!AA:AA,0,0)</f>
        <v>2.9057999999999997</v>
      </c>
      <c r="N12" s="530">
        <f>$H12*_xlfn.XLOOKUP($G12,'Baumaterialien Matériaux'!$A:$A,'Baumaterialien Matériaux'!AB:AB,0,0)</f>
        <v>7.3079999999999998</v>
      </c>
      <c r="O12" s="530">
        <f>$H12*_xlfn.XLOOKUP($G12,'Baumaterialien Matériaux'!$A:$A,'Baumaterialien Matériaux'!AC:AC,0,0)*44/12</f>
        <v>0</v>
      </c>
      <c r="P12" s="530">
        <f>$H12*_xlfn.XLOOKUP($G12,'Baumaterialien Matériaux'!$A:$A,'Baumaterialien Matériaux'!AG:AG,0,0)</f>
        <v>0</v>
      </c>
      <c r="Q12" s="1110">
        <f>$H12*_xlfn.XLOOKUP($G12,'Baumaterialien Matériaux'!$A:$A,'Baumaterialien Matériaux'!AH:AH,0,0)</f>
        <v>0</v>
      </c>
      <c r="S12" s="133"/>
      <c r="T12" s="134"/>
    </row>
    <row r="13" spans="1:20" ht="16.5" thickBot="1">
      <c r="A13" s="590"/>
      <c r="B13" s="1103"/>
      <c r="C13" s="590"/>
      <c r="D13" s="590"/>
      <c r="E13" s="590"/>
      <c r="F13" s="590"/>
      <c r="G13" s="590"/>
      <c r="H13" s="602"/>
      <c r="I13" s="590"/>
      <c r="J13" s="1247"/>
      <c r="K13" s="1105"/>
      <c r="L13" s="1105"/>
      <c r="M13" s="856">
        <f t="shared" ref="M13:Q13" si="0">SUM(M10:M12)</f>
        <v>3.5589999999999997</v>
      </c>
      <c r="N13" s="856">
        <f t="shared" si="0"/>
        <v>7.782</v>
      </c>
      <c r="O13" s="856">
        <f t="shared" si="0"/>
        <v>0</v>
      </c>
      <c r="P13" s="856">
        <f t="shared" si="0"/>
        <v>0</v>
      </c>
      <c r="Q13" s="856">
        <f t="shared" si="0"/>
        <v>0</v>
      </c>
      <c r="S13" s="1190">
        <f>(M13+N13)/J12</f>
        <v>0.18901666666666667</v>
      </c>
      <c r="T13" s="134"/>
    </row>
    <row r="14" spans="1:20" ht="16.5" thickTop="1">
      <c r="A14" s="1"/>
      <c r="B14" s="1"/>
      <c r="C14" s="606"/>
      <c r="D14" s="606"/>
      <c r="E14" s="606"/>
      <c r="F14" s="606"/>
      <c r="G14" s="606"/>
      <c r="H14" s="1071"/>
      <c r="I14" s="606"/>
      <c r="J14" s="1073"/>
      <c r="K14" s="125"/>
      <c r="L14" s="125"/>
      <c r="M14" s="854"/>
      <c r="N14" s="854"/>
      <c r="O14" s="854"/>
      <c r="P14" s="854"/>
      <c r="Q14" s="854"/>
      <c r="S14" s="133"/>
      <c r="T14" s="134"/>
    </row>
    <row r="15" spans="1:20">
      <c r="A15" s="1177" t="s">
        <v>793</v>
      </c>
      <c r="B15" s="1916"/>
      <c r="C15" s="267" t="s">
        <v>4037</v>
      </c>
      <c r="D15" s="267" t="str">
        <f>VLOOKUP(G15,'Transporte Transports'!$A$10:$AD$432,27,FALSE)</f>
        <v>Excavations mécaniques, en moyenne</v>
      </c>
      <c r="E15" s="1590"/>
      <c r="F15" s="267" t="str">
        <f>VLOOKUP(G15,'Transporte Transports'!$A$10:$AD$432,5,FALSE)</f>
        <v>m3</v>
      </c>
      <c r="G15" s="267" t="s">
        <v>519</v>
      </c>
      <c r="H15" s="1245">
        <v>0.2</v>
      </c>
      <c r="I15" s="163"/>
      <c r="J15" s="1242">
        <v>60</v>
      </c>
      <c r="K15" s="167">
        <f>$H15*_xlfn.XLOOKUP($G15,'Transporte Transports'!$A:$A,'Transporte Transports'!R:R,0,0)</f>
        <v>0.32800000000000001</v>
      </c>
      <c r="L15" s="1567"/>
      <c r="M15" s="1244">
        <f>$H15*_xlfn.XLOOKUP($G15,'Transporte Transports'!$A:$A,'Transporte Transports'!V:V,0,0)</f>
        <v>8.660000000000001E-2</v>
      </c>
      <c r="N15" s="530"/>
      <c r="O15" s="530"/>
      <c r="P15" s="530">
        <f>$H15*_xlfn.XLOOKUP($G15,'Baumaterialien Matériaux'!$A:$A,'Baumaterialien Matériaux'!AG:AG,0,0)</f>
        <v>0</v>
      </c>
      <c r="Q15" s="1110">
        <f>$H15*_xlfn.XLOOKUP($G15,'Baumaterialien Matériaux'!$A:$A,'Baumaterialien Matériaux'!AH:AH,0,0)</f>
        <v>0</v>
      </c>
      <c r="S15" s="133"/>
      <c r="T15" s="1910"/>
    </row>
    <row r="16" spans="1:20">
      <c r="A16" s="258"/>
      <c r="B16" s="1917"/>
      <c r="C16" s="1405" t="s">
        <v>4041</v>
      </c>
      <c r="D16" s="1405" t="str">
        <f>VLOOKUP(G16,'Baumaterialien Matériaux'!$A$10:$AD$432,30,FALSE)</f>
        <v>Gravier concassé 1</v>
      </c>
      <c r="E16" s="1405"/>
      <c r="F16" s="1405" t="str">
        <f>VLOOKUP(G16,'Baumaterialien Matériaux'!$A$10:$AD$432,7,FALSE)</f>
        <v>kg</v>
      </c>
      <c r="G16" s="1405" t="s">
        <v>816</v>
      </c>
      <c r="H16" s="1405">
        <f>1500*0.2</f>
        <v>300</v>
      </c>
      <c r="I16" s="1405"/>
      <c r="J16" s="1568">
        <v>60</v>
      </c>
      <c r="K16" s="1567">
        <f>$H16*_xlfn.XLOOKUP($G16,'Baumaterialien Matériaux'!$A:$A,'Baumaterialien Matériaux'!V:V,0,0)</f>
        <v>9.629999999999999</v>
      </c>
      <c r="L16" s="1567">
        <f>$H16*_xlfn.XLOOKUP($G16,'Baumaterialien Matériaux'!$A:$A,'Baumaterialien Matériaux'!Y:Y,0,0)</f>
        <v>15.780000000000001</v>
      </c>
      <c r="M16" s="1567">
        <f>$H16*_xlfn.XLOOKUP($G16,'Baumaterialien Matériaux'!$A:$A,'Baumaterialien Matériaux'!AA:AA,0,0)</f>
        <v>1.5029999999999999</v>
      </c>
      <c r="N16" s="1567">
        <f>$H16*_xlfn.XLOOKUP($G16,'Baumaterialien Matériaux'!$A:$A,'Baumaterialien Matériaux'!AB:AB,0,0)</f>
        <v>3.7800000000000002</v>
      </c>
      <c r="O16" s="1567">
        <f>$H16*_xlfn.XLOOKUP($G16,'Baumaterialien Matériaux'!$A:$A,'Baumaterialien Matériaux'!AC:AC,0,0)*44/12</f>
        <v>0</v>
      </c>
      <c r="P16" s="1567">
        <f>$H16*_xlfn.XLOOKUP($G16,'Baumaterialien Matériaux'!$A:$A,'Baumaterialien Matériaux'!AG:AG,0,0)</f>
        <v>0</v>
      </c>
      <c r="Q16" s="1567">
        <f>$H16*_xlfn.XLOOKUP($G16,'Baumaterialien Matériaux'!$A:$A,'Baumaterialien Matériaux'!AH:AH,0,0)</f>
        <v>0</v>
      </c>
      <c r="S16" s="133"/>
      <c r="T16" s="1910"/>
    </row>
    <row r="17" spans="1:21">
      <c r="A17" s="2"/>
      <c r="B17" s="1918"/>
      <c r="C17" s="137" t="s">
        <v>4036</v>
      </c>
      <c r="D17" s="137" t="str">
        <f>VLOOKUP(G17,'Baumaterialien Matériaux'!$A$10:$AD$432,30,FALSE)</f>
        <v>Béton pour travaux de génie civil (sans armature)</v>
      </c>
      <c r="E17" s="1593"/>
      <c r="F17" s="137" t="str">
        <f>_xlfn.XLOOKUP($G17,'Baumaterialien Matériaux'!$A:$A,'Baumaterialien Matériaux'!G:G,0,0)</f>
        <v>kg</v>
      </c>
      <c r="G17" s="1577" t="s">
        <v>1183</v>
      </c>
      <c r="H17" s="167">
        <f>0.15*2300</f>
        <v>345</v>
      </c>
      <c r="I17" s="166"/>
      <c r="J17" s="514">
        <v>60</v>
      </c>
      <c r="K17" s="1567">
        <f>$H17*_xlfn.XLOOKUP($G17,'Baumaterialien Matériaux'!$A:$A,'Baumaterialien Matériaux'!V:V,0,0)</f>
        <v>47.610000000000007</v>
      </c>
      <c r="L17" s="1567">
        <f>$H17*_xlfn.XLOOKUP($G17,'Baumaterialien Matériaux'!$A:$A,'Baumaterialien Matériaux'!Y:Y,0,0)</f>
        <v>17.698499999999999</v>
      </c>
      <c r="M17" s="852">
        <f>$H17*_xlfn.XLOOKUP($G17,'Baumaterialien Matériaux'!$A:$A,'Baumaterialien Matériaux'!AA:AA,0,0)</f>
        <v>33.223500000000001</v>
      </c>
      <c r="N17" s="852">
        <f>$H17*_xlfn.XLOOKUP($G17,'Baumaterialien Matériaux'!$A:$A,'Baumaterialien Matériaux'!AB:AB,0,0)</f>
        <v>4.3125</v>
      </c>
      <c r="O17" s="852">
        <f>$H17*_xlfn.XLOOKUP($G17,'Baumaterialien Matériaux'!$A:$A,'Baumaterialien Matériaux'!AC:AC,0,0)*44/12</f>
        <v>0</v>
      </c>
      <c r="P17" s="852">
        <f>$H17*_xlfn.XLOOKUP($G17,'Baumaterialien Matériaux'!$A:$A,'Baumaterialien Matériaux'!AG:AG,0,0)</f>
        <v>0</v>
      </c>
      <c r="Q17" s="1111">
        <f>$H17*_xlfn.XLOOKUP($G17,'Baumaterialien Matériaux'!$A:$A,'Baumaterialien Matériaux'!AH:AH,0,0)</f>
        <v>0</v>
      </c>
      <c r="S17" s="125"/>
      <c r="T17" s="1910"/>
    </row>
    <row r="18" spans="1:21" ht="16.5" thickBot="1">
      <c r="A18" s="590"/>
      <c r="B18" s="620"/>
      <c r="C18" s="590"/>
      <c r="D18" s="590"/>
      <c r="E18" s="590"/>
      <c r="F18" s="590"/>
      <c r="G18" s="590"/>
      <c r="H18" s="590"/>
      <c r="I18" s="590"/>
      <c r="J18" s="867"/>
      <c r="K18" s="590"/>
      <c r="L18" s="590"/>
      <c r="M18" s="856">
        <f>SUM(M15:M17)</f>
        <v>34.813099999999999</v>
      </c>
      <c r="N18" s="856">
        <f>SUM(N15:N17)</f>
        <v>8.0925000000000011</v>
      </c>
      <c r="O18" s="856">
        <f>SUM(O15:O17)</f>
        <v>0</v>
      </c>
      <c r="P18" s="856">
        <f>SUM(P15:P17)</f>
        <v>0</v>
      </c>
      <c r="Q18" s="856">
        <f>SUM(Q15:Q17)</f>
        <v>0</v>
      </c>
      <c r="S18" s="1190">
        <f>(M18+N18)/J17</f>
        <v>0.71509333333333336</v>
      </c>
      <c r="T18" s="805"/>
    </row>
    <row r="19" spans="1:21" ht="16.5" thickTop="1">
      <c r="A19" s="3"/>
      <c r="B19" s="974"/>
      <c r="C19" s="159"/>
      <c r="D19" s="159"/>
      <c r="E19" s="159"/>
      <c r="F19" s="159"/>
      <c r="G19" s="159"/>
      <c r="H19" s="159"/>
      <c r="I19" s="3"/>
      <c r="J19" s="260"/>
      <c r="K19" s="3"/>
      <c r="L19" s="3"/>
      <c r="M19" s="857"/>
      <c r="N19" s="857"/>
      <c r="O19" s="857"/>
      <c r="P19" s="857"/>
      <c r="Q19" s="857"/>
      <c r="S19" s="133"/>
      <c r="T19" s="134"/>
    </row>
    <row r="20" spans="1:21">
      <c r="A20" s="159"/>
      <c r="B20" s="159"/>
      <c r="C20" s="159"/>
      <c r="D20" s="159"/>
      <c r="E20" s="159"/>
      <c r="F20" s="159"/>
      <c r="G20" s="159"/>
      <c r="H20" s="159"/>
      <c r="I20" s="159"/>
      <c r="J20" s="260"/>
      <c r="K20" s="159"/>
      <c r="L20" s="159"/>
      <c r="M20" s="1070"/>
      <c r="N20" s="1070"/>
      <c r="O20" s="1070"/>
      <c r="P20" s="1070"/>
      <c r="Q20" s="1070"/>
      <c r="S20" s="1565"/>
      <c r="T20" s="1566"/>
    </row>
    <row r="21" spans="1:21" s="978" customFormat="1">
      <c r="A21" s="1572" t="s">
        <v>4001</v>
      </c>
      <c r="B21" s="1405" t="s">
        <v>3772</v>
      </c>
      <c r="C21" s="1405" t="s">
        <v>4003</v>
      </c>
      <c r="D21" s="1405" t="str">
        <f>VLOOKUP(G21,'Baumaterialien Matériaux'!$A$10:$AD$432,30,FALSE)</f>
        <v>Plaque de grès dur</v>
      </c>
      <c r="E21" s="1405"/>
      <c r="F21" s="1405" t="str">
        <f>VLOOKUP(G21,'Baumaterialien Matériaux'!$A$10:$AD$432,7,FALSE)</f>
        <v>kg</v>
      </c>
      <c r="G21" s="1405" t="s">
        <v>678</v>
      </c>
      <c r="H21" s="1405">
        <f>2500*0.08</f>
        <v>200</v>
      </c>
      <c r="I21" s="1405"/>
      <c r="J21" s="1568">
        <v>60</v>
      </c>
      <c r="K21" s="1567">
        <f>$H21*_xlfn.XLOOKUP($G21,'Baumaterialien Matériaux'!$A:$A,'Baumaterialien Matériaux'!V:V,0,0)</f>
        <v>44.6</v>
      </c>
      <c r="L21" s="1567">
        <f>$H21*_xlfn.XLOOKUP($G21,'Baumaterialien Matériaux'!$A:$A,'Baumaterialien Matériaux'!Y:Y,0,0)</f>
        <v>10.52</v>
      </c>
      <c r="M21" s="1567">
        <f>$H21*_xlfn.XLOOKUP($G21,'Baumaterialien Matériaux'!$A:$A,'Baumaterialien Matériaux'!AA:AA,0,0)</f>
        <v>5.6000000000000005</v>
      </c>
      <c r="N21" s="1567">
        <f>$H21*_xlfn.XLOOKUP($G21,'Baumaterialien Matériaux'!$A:$A,'Baumaterialien Matériaux'!AB:AB,0,0)</f>
        <v>2.54</v>
      </c>
      <c r="O21" s="1567">
        <f>$H21*_xlfn.XLOOKUP($G21,'Baumaterialien Matériaux'!$A:$A,'Baumaterialien Matériaux'!AC:AC,0,0)*44/12</f>
        <v>0</v>
      </c>
      <c r="P21" s="1567">
        <f>$H21*_xlfn.XLOOKUP($G21,'Baumaterialien Matériaux'!$A:$A,'Baumaterialien Matériaux'!AG:AG,0,0)</f>
        <v>0</v>
      </c>
      <c r="Q21" s="1567">
        <f>$H21*_xlfn.XLOOKUP($G21,'Baumaterialien Matériaux'!$A:$A,'Baumaterialien Matériaux'!AH:AH,0,0)</f>
        <v>0</v>
      </c>
      <c r="S21" s="133"/>
      <c r="T21" s="1911"/>
    </row>
    <row r="22" spans="1:21" s="1405" customFormat="1">
      <c r="A22" s="258"/>
      <c r="B22" s="1571" t="s">
        <v>3998</v>
      </c>
      <c r="C22" s="1570"/>
      <c r="D22" s="1570" t="str">
        <f>VLOOKUP(G22,'Baumaterialien Matériaux'!$A$10:$AD$434,30,FALSE)</f>
        <v>Sable 1</v>
      </c>
      <c r="E22" s="1570"/>
      <c r="F22" s="1570" t="str">
        <f>VLOOKUP(G22,'Baumaterialien Matériaux'!$A$10:$AD$434,7,FALSE)</f>
        <v>kg</v>
      </c>
      <c r="G22" s="1358" t="s">
        <v>758</v>
      </c>
      <c r="H22" s="1405">
        <f>1500*5/100*0.04</f>
        <v>3</v>
      </c>
      <c r="J22" s="1568">
        <v>60</v>
      </c>
      <c r="K22" s="1586">
        <f>$H22*_xlfn.XLOOKUP($G22,'Baumaterialien Matériaux'!$A:$A,'Baumaterialien Matériaux'!V:V,0,0)</f>
        <v>4.6799999999999994E-2</v>
      </c>
      <c r="L22" s="1586">
        <f>$H22*_xlfn.XLOOKUP($G22,'Baumaterialien Matériaux'!$A:$A,'Baumaterialien Matériaux'!Y:Y,0,0)</f>
        <v>0.1578</v>
      </c>
      <c r="M22" s="1587">
        <f>$H22*_xlfn.XLOOKUP($G22,'Baumaterialien Matériaux'!$A:$A,'Baumaterialien Matériaux'!AA:AA,0,0)</f>
        <v>9.1500000000000001E-3</v>
      </c>
      <c r="N22" s="1587">
        <f>$H22*_xlfn.XLOOKUP($G22,'Baumaterialien Matériaux'!$A:$A,'Baumaterialien Matériaux'!AB:AB,0,0)</f>
        <v>3.78E-2</v>
      </c>
      <c r="O22" s="1586">
        <f>$H22*_xlfn.XLOOKUP($G22,'Baumaterialien Matériaux'!$A:$A,'Baumaterialien Matériaux'!AC:AC,0,0)*44/12</f>
        <v>0</v>
      </c>
      <c r="P22" s="1586">
        <f>$H22*_xlfn.XLOOKUP($G22,'Baumaterialien Matériaux'!$A:$A,'Baumaterialien Matériaux'!AG:AG,0,0)</f>
        <v>0</v>
      </c>
      <c r="Q22" s="1586">
        <f>$H22*_xlfn.XLOOKUP($G22,'Baumaterialien Matériaux'!$A:$A,'Baumaterialien Matériaux'!AH:AH,0,0)</f>
        <v>0</v>
      </c>
      <c r="T22" s="1911"/>
      <c r="U22" s="1571"/>
    </row>
    <row r="23" spans="1:21">
      <c r="A23" s="258"/>
      <c r="B23" s="1571" t="s">
        <v>3978</v>
      </c>
      <c r="C23" s="1405" t="s">
        <v>4018</v>
      </c>
      <c r="D23" s="1405" t="str">
        <f>VLOOKUP(G23,'Baumaterialien Matériaux'!$A$10:$AD$432,30,FALSE)</f>
        <v>Gravier concassé 1</v>
      </c>
      <c r="E23" s="1405"/>
      <c r="F23" s="1405" t="str">
        <f>VLOOKUP(G23,'Baumaterialien Matériaux'!$A$10:$AD$432,7,FALSE)</f>
        <v>kg</v>
      </c>
      <c r="G23" s="1405" t="s">
        <v>816</v>
      </c>
      <c r="H23" s="1405">
        <f>1500*0.06</f>
        <v>90</v>
      </c>
      <c r="I23" s="1405"/>
      <c r="J23" s="1568">
        <v>60</v>
      </c>
      <c r="K23" s="1567">
        <f>$H23*_xlfn.XLOOKUP($G23,'Baumaterialien Matériaux'!$A:$A,'Baumaterialien Matériaux'!V:V,0,0)</f>
        <v>2.8889999999999998</v>
      </c>
      <c r="L23" s="1567">
        <f>$H23*_xlfn.XLOOKUP($G23,'Baumaterialien Matériaux'!$A:$A,'Baumaterialien Matériaux'!Y:Y,0,0)</f>
        <v>4.734</v>
      </c>
      <c r="M23" s="1567">
        <f>$H23*_xlfn.XLOOKUP($G23,'Baumaterialien Matériaux'!$A:$A,'Baumaterialien Matériaux'!AA:AA,0,0)</f>
        <v>0.45089999999999997</v>
      </c>
      <c r="N23" s="1567">
        <f>$H23*_xlfn.XLOOKUP($G23,'Baumaterialien Matériaux'!$A:$A,'Baumaterialien Matériaux'!AB:AB,0,0)</f>
        <v>1.1339999999999999</v>
      </c>
      <c r="O23" s="1567">
        <f>$H23*_xlfn.XLOOKUP($G23,'Baumaterialien Matériaux'!$A:$A,'Baumaterialien Matériaux'!AC:AC,0,0)*44/12</f>
        <v>0</v>
      </c>
      <c r="P23" s="1567">
        <f>$H23*_xlfn.XLOOKUP($G23,'Baumaterialien Matériaux'!$A:$A,'Baumaterialien Matériaux'!AG:AG,0,0)</f>
        <v>0</v>
      </c>
      <c r="Q23" s="1567">
        <f>$H23*_xlfn.XLOOKUP($G23,'Baumaterialien Matériaux'!$A:$A,'Baumaterialien Matériaux'!AH:AH,0,0)</f>
        <v>0</v>
      </c>
      <c r="S23" s="133"/>
      <c r="T23" s="1911"/>
    </row>
    <row r="24" spans="1:21">
      <c r="A24" s="258"/>
      <c r="B24" s="1571" t="s">
        <v>3979</v>
      </c>
      <c r="C24" s="1405" t="s">
        <v>4002</v>
      </c>
      <c r="D24" s="1405" t="str">
        <f>VLOOKUP(G24,'Baumaterialien Matériaux'!$A$10:$AD$432,30,FALSE)</f>
        <v>Gravier concassé 1</v>
      </c>
      <c r="E24" s="1405"/>
      <c r="F24" s="1405" t="str">
        <f>VLOOKUP(G24,'Baumaterialien Matériaux'!$A$10:$AD$432,7,FALSE)</f>
        <v>kg</v>
      </c>
      <c r="G24" s="1405" t="s">
        <v>816</v>
      </c>
      <c r="H24" s="1405">
        <f>1500*0.3</f>
        <v>450</v>
      </c>
      <c r="I24" s="1405"/>
      <c r="J24" s="1568">
        <v>60</v>
      </c>
      <c r="K24" s="1567">
        <f>$H24*_xlfn.XLOOKUP($G24,'Baumaterialien Matériaux'!$A:$A,'Baumaterialien Matériaux'!V:V,0,0)</f>
        <v>14.444999999999999</v>
      </c>
      <c r="L24" s="1567">
        <f>$H24*_xlfn.XLOOKUP($G24,'Baumaterialien Matériaux'!$A:$A,'Baumaterialien Matériaux'!Y:Y,0,0)</f>
        <v>23.67</v>
      </c>
      <c r="M24" s="1567">
        <f>$H24*_xlfn.XLOOKUP($G24,'Baumaterialien Matériaux'!$A:$A,'Baumaterialien Matériaux'!AA:AA,0,0)</f>
        <v>2.2544999999999997</v>
      </c>
      <c r="N24" s="1567">
        <f>$H24*_xlfn.XLOOKUP($G24,'Baumaterialien Matériaux'!$A:$A,'Baumaterialien Matériaux'!AB:AB,0,0)</f>
        <v>5.67</v>
      </c>
      <c r="O24" s="1567">
        <f>$H24*_xlfn.XLOOKUP($G24,'Baumaterialien Matériaux'!$A:$A,'Baumaterialien Matériaux'!AC:AC,0,0)*44/12</f>
        <v>0</v>
      </c>
      <c r="P24" s="1567">
        <f>$H24*_xlfn.XLOOKUP($G24,'Baumaterialien Matériaux'!$A:$A,'Baumaterialien Matériaux'!AG:AG,0,0)</f>
        <v>0</v>
      </c>
      <c r="Q24" s="1567">
        <f>$H24*_xlfn.XLOOKUP($G24,'Baumaterialien Matériaux'!$A:$A,'Baumaterialien Matériaux'!AH:AH,0,0)</f>
        <v>0</v>
      </c>
      <c r="S24" s="133"/>
      <c r="T24" s="1911"/>
    </row>
    <row r="25" spans="1:21">
      <c r="A25" s="258"/>
      <c r="B25" s="1571" t="s">
        <v>3999</v>
      </c>
      <c r="C25" s="1405" t="s">
        <v>4016</v>
      </c>
      <c r="D25" s="1405" t="str">
        <f>VLOOKUP(G25,'Transporte Transports'!$A$10:$AD$432,27,FALSE)</f>
        <v>Excavations mécaniques, en moyenne</v>
      </c>
      <c r="E25" s="1405"/>
      <c r="F25" s="1405" t="str">
        <f>VLOOKUP(G25,'Transporte Transports'!$A$10:$AD$432,5,FALSE)</f>
        <v>m3</v>
      </c>
      <c r="G25" s="1405" t="s">
        <v>519</v>
      </c>
      <c r="H25" s="1405">
        <v>0.6</v>
      </c>
      <c r="I25" s="1405"/>
      <c r="J25" s="1568">
        <v>60</v>
      </c>
      <c r="K25" s="1567">
        <f>$H25*_xlfn.XLOOKUP($G25,'Transporte Transports'!$A:$A,'Transporte Transports'!R:R,0,0)</f>
        <v>0.98399999999999987</v>
      </c>
      <c r="L25" s="1567"/>
      <c r="M25" s="1244">
        <f>$H25*_xlfn.XLOOKUP($G25,'Transporte Transports'!$A:$A,'Transporte Transports'!V:V,0,0)</f>
        <v>0.25979999999999998</v>
      </c>
      <c r="N25" s="1244"/>
      <c r="O25" s="1567"/>
      <c r="P25" s="1567"/>
      <c r="Q25" s="1567"/>
      <c r="S25" s="133"/>
      <c r="T25" s="1912"/>
    </row>
    <row r="26" spans="1:21" ht="16.5" thickBot="1">
      <c r="A26" s="856"/>
      <c r="B26" s="856"/>
      <c r="C26" s="856"/>
      <c r="D26" s="856"/>
      <c r="E26" s="856"/>
      <c r="F26" s="856"/>
      <c r="G26" s="856"/>
      <c r="H26" s="856"/>
      <c r="I26" s="856"/>
      <c r="J26" s="856"/>
      <c r="K26" s="856">
        <f t="shared" ref="K26:L26" si="1">SUM(K21:K25)</f>
        <v>62.964800000000004</v>
      </c>
      <c r="L26" s="856">
        <f t="shared" si="1"/>
        <v>39.081800000000001</v>
      </c>
      <c r="M26" s="856">
        <f>SUM(M21:M25)</f>
        <v>8.5743500000000008</v>
      </c>
      <c r="N26" s="856">
        <f t="shared" ref="N26" si="2">SUM(N21:N25)</f>
        <v>9.3818000000000001</v>
      </c>
      <c r="O26" s="856">
        <f t="shared" ref="O26:P26" si="3">SUM(O21:O25)</f>
        <v>0</v>
      </c>
      <c r="P26" s="856">
        <f t="shared" si="3"/>
        <v>0</v>
      </c>
      <c r="Q26" s="856">
        <f t="shared" ref="Q26" si="4">SUM(Q21:Q25)</f>
        <v>0</v>
      </c>
      <c r="S26" s="1190">
        <f>(M26+N26)/J25</f>
        <v>0.2992691666666667</v>
      </c>
      <c r="T26" s="805"/>
    </row>
    <row r="27" spans="1:21" ht="16.5" thickTop="1">
      <c r="A27" s="1070"/>
      <c r="B27" s="1070"/>
      <c r="C27" s="1070"/>
      <c r="D27" s="1070"/>
      <c r="E27" s="1070"/>
      <c r="F27" s="1070"/>
      <c r="G27" s="1070"/>
      <c r="H27" s="1070"/>
      <c r="I27" s="1070"/>
      <c r="J27" s="1070"/>
      <c r="K27" s="1070"/>
      <c r="L27" s="1070"/>
      <c r="M27" s="1070"/>
      <c r="N27" s="1070"/>
      <c r="O27" s="1070"/>
      <c r="P27" s="1070"/>
      <c r="Q27" s="1070"/>
      <c r="S27" s="1190"/>
      <c r="T27" s="805"/>
    </row>
    <row r="28" spans="1:21" s="1581" customFormat="1" ht="16.5" thickBot="1">
      <c r="A28" s="1580"/>
      <c r="B28" s="1580"/>
      <c r="C28" s="1580"/>
      <c r="D28" s="1580"/>
      <c r="E28" s="1580"/>
      <c r="F28" s="1580"/>
      <c r="G28" s="1580"/>
      <c r="H28" s="1580"/>
      <c r="I28" s="1580"/>
      <c r="J28" s="1580"/>
      <c r="K28" s="1580"/>
      <c r="L28" s="1580"/>
      <c r="M28" s="1580"/>
      <c r="N28" s="1580"/>
      <c r="O28" s="1580"/>
      <c r="P28" s="1580"/>
      <c r="Q28" s="1580"/>
      <c r="S28" s="1582"/>
      <c r="T28" s="1583"/>
    </row>
    <row r="29" spans="1:21" ht="16.5" thickTop="1">
      <c r="A29" s="1070"/>
      <c r="B29" s="1070"/>
      <c r="C29" s="1070"/>
      <c r="D29" s="1070"/>
      <c r="E29" s="1070"/>
      <c r="F29" s="1070"/>
      <c r="G29" s="1070"/>
      <c r="H29" s="1070"/>
      <c r="I29" s="1070"/>
      <c r="J29" s="1070"/>
      <c r="K29" s="1070"/>
      <c r="L29" s="1070"/>
      <c r="M29" s="1070"/>
      <c r="N29" s="1070"/>
      <c r="O29" s="1070"/>
      <c r="P29" s="1070"/>
      <c r="Q29" s="1070"/>
      <c r="S29" s="1190"/>
      <c r="T29" s="805"/>
    </row>
    <row r="30" spans="1:21">
      <c r="A30" s="1070"/>
      <c r="B30" s="1070"/>
      <c r="C30" s="1070"/>
      <c r="D30" s="1070"/>
      <c r="E30" s="1070"/>
      <c r="F30" s="1070"/>
      <c r="G30" s="1070"/>
      <c r="H30" s="1070"/>
      <c r="I30" s="1070"/>
      <c r="J30" s="1070"/>
      <c r="K30" s="1070"/>
      <c r="L30" s="1070"/>
      <c r="M30" s="1070"/>
      <c r="N30" s="1070"/>
      <c r="O30" s="1070"/>
      <c r="P30" s="1070"/>
      <c r="Q30" s="1070"/>
      <c r="S30" s="1190"/>
      <c r="T30" s="805"/>
    </row>
    <row r="31" spans="1:21" s="978" customFormat="1">
      <c r="A31" s="1166" t="s">
        <v>4013</v>
      </c>
      <c r="B31" s="978" t="s">
        <v>3772</v>
      </c>
      <c r="C31" s="978" t="s">
        <v>4003</v>
      </c>
      <c r="D31" s="978" t="str">
        <f>VLOOKUP(G31,'Baumaterialien Matériaux'!$A$10:$AD$434,30,FALSE)</f>
        <v>Plaque de grès dur</v>
      </c>
      <c r="F31" s="978" t="str">
        <f>VLOOKUP(G31,'Baumaterialien Matériaux'!$A$10:$AD$434,7,FALSE)</f>
        <v>kg</v>
      </c>
      <c r="G31" s="978" t="s">
        <v>678</v>
      </c>
      <c r="H31" s="1405">
        <f>2500*0.08</f>
        <v>200</v>
      </c>
      <c r="J31" s="1568">
        <v>60</v>
      </c>
      <c r="K31" s="1586">
        <f>$H31*_xlfn.XLOOKUP($G31,'Baumaterialien Matériaux'!$A:$A,'Baumaterialien Matériaux'!V:V,0,0)</f>
        <v>44.6</v>
      </c>
      <c r="L31" s="1586">
        <f>$H31*_xlfn.XLOOKUP($G31,'Baumaterialien Matériaux'!$A:$A,'Baumaterialien Matériaux'!Y:Y,0,0)</f>
        <v>10.52</v>
      </c>
      <c r="M31" s="1586">
        <f>$H31*_xlfn.XLOOKUP($G31,'Baumaterialien Matériaux'!$A:$A,'Baumaterialien Matériaux'!AA:AA,0,0)</f>
        <v>5.6000000000000005</v>
      </c>
      <c r="N31" s="1586">
        <f>$H31*_xlfn.XLOOKUP($G31,'Baumaterialien Matériaux'!$A:$A,'Baumaterialien Matériaux'!AB:AB,0,0)</f>
        <v>2.54</v>
      </c>
      <c r="O31" s="1586">
        <f>$H31*_xlfn.XLOOKUP($G31,'Baumaterialien Matériaux'!$A:$A,'Baumaterialien Matériaux'!AC:AC,0,0)*44/12</f>
        <v>0</v>
      </c>
      <c r="P31" s="1586">
        <f>$H31*_xlfn.XLOOKUP($G31,'Baumaterialien Matériaux'!$A:$A,'Baumaterialien Matériaux'!AG:AG,0,0)</f>
        <v>0</v>
      </c>
      <c r="Q31" s="1586">
        <f>$H31*_xlfn.XLOOKUP($G31,'Baumaterialien Matériaux'!$A:$A,'Baumaterialien Matériaux'!AH:AH,0,0)</f>
        <v>0</v>
      </c>
      <c r="S31" s="1565"/>
      <c r="T31" s="1566"/>
    </row>
    <row r="32" spans="1:21" s="978" customFormat="1">
      <c r="A32"/>
      <c r="B32" s="1571" t="s">
        <v>3998</v>
      </c>
      <c r="C32" s="1405" t="s">
        <v>4023</v>
      </c>
      <c r="D32" s="1405" t="str">
        <f>VLOOKUP(G32,'Baumaterialien Matériaux'!$A$10:$AD$434,30,FALSE)</f>
        <v>Enduit de ciment</v>
      </c>
      <c r="E32" s="1405"/>
      <c r="F32" s="1405" t="str">
        <f>VLOOKUP(G32,'Baumaterialien Matériaux'!$A$10:$AD$434,7,FALSE)</f>
        <v>kg</v>
      </c>
      <c r="G32" s="1405" t="s">
        <v>625</v>
      </c>
      <c r="H32" s="1405">
        <f>1550*5/100*0.08</f>
        <v>6.2</v>
      </c>
      <c r="I32" s="1405"/>
      <c r="J32" s="1568">
        <v>60</v>
      </c>
      <c r="K32" s="1586">
        <f>$H32*_xlfn.XLOOKUP($G32,'Baumaterialien Matériaux'!$A:$A,'Baumaterialien Matériaux'!V:V,0,0)</f>
        <v>3.7324000000000002</v>
      </c>
      <c r="L32" s="1586">
        <f>$H32*_xlfn.XLOOKUP($G32,'Baumaterialien Matériaux'!$A:$A,'Baumaterialien Matériaux'!Y:Y,0,0)</f>
        <v>0.32488</v>
      </c>
      <c r="M32" s="1586">
        <f>$H32*_xlfn.XLOOKUP($G32,'Baumaterialien Matériaux'!$A:$A,'Baumaterialien Matériaux'!AA:AA,0,0)</f>
        <v>1.5376000000000001</v>
      </c>
      <c r="N32" s="1586">
        <f>$H32*_xlfn.XLOOKUP($G32,'Baumaterialien Matériaux'!$A:$A,'Baumaterialien Matériaux'!AB:AB,0,0)</f>
        <v>7.8740000000000004E-2</v>
      </c>
      <c r="O32" s="1586">
        <f>$H32*_xlfn.XLOOKUP($G32,'Baumaterialien Matériaux'!$A:$A,'Baumaterialien Matériaux'!AC:AC,0,0)*44/12</f>
        <v>0</v>
      </c>
      <c r="P32" s="1586">
        <f>$H32*_xlfn.XLOOKUP($G32,'Baumaterialien Matériaux'!$A:$A,'Baumaterialien Matériaux'!AG:AG,0,0)</f>
        <v>0</v>
      </c>
      <c r="Q32" s="1586">
        <f>$H32*_xlfn.XLOOKUP($G32,'Baumaterialien Matériaux'!$A:$A,'Baumaterialien Matériaux'!AH:AH,0,0)</f>
        <v>0</v>
      </c>
      <c r="S32" s="133"/>
      <c r="T32" s="1911"/>
    </row>
    <row r="33" spans="1:21">
      <c r="A33" s="258"/>
      <c r="B33" s="1571" t="s">
        <v>3978</v>
      </c>
      <c r="C33" s="1405" t="s">
        <v>4024</v>
      </c>
      <c r="D33" s="1405" t="str">
        <f>VLOOKUP(G33,'Baumaterialien Matériaux'!$A$10:$AD$434,30,FALSE)</f>
        <v>Granulés de béton 1</v>
      </c>
      <c r="E33" s="1405"/>
      <c r="F33" s="1405" t="str">
        <f>VLOOKUP(G33,'Baumaterialien Matériaux'!$A$10:$AD$434,7,FALSE)</f>
        <v>kg</v>
      </c>
      <c r="G33" s="1405" t="s">
        <v>1272</v>
      </c>
      <c r="H33" s="1405">
        <f>1550*0.08</f>
        <v>124</v>
      </c>
      <c r="I33" s="1405"/>
      <c r="J33" s="1568">
        <v>60</v>
      </c>
      <c r="K33" s="1586">
        <f>$H33*_xlfn.XLOOKUP($G33,'Baumaterialien Matériaux'!$A:$A,'Baumaterialien Matériaux'!V:V,0,0)</f>
        <v>1.1222000000000001</v>
      </c>
      <c r="L33" s="1586">
        <f>$H33*_xlfn.XLOOKUP($G33,'Baumaterialien Matériaux'!$A:$A,'Baumaterialien Matériaux'!Y:Y,0,0)</f>
        <v>6.5224000000000002</v>
      </c>
      <c r="M33" s="1586">
        <f>$H33*_xlfn.XLOOKUP($G33,'Baumaterialien Matériaux'!$A:$A,'Baumaterialien Matériaux'!AA:AA,0,0)</f>
        <v>0.16367999999999999</v>
      </c>
      <c r="N33" s="1586">
        <f>$H33*_xlfn.XLOOKUP($G33,'Baumaterialien Matériaux'!$A:$A,'Baumaterialien Matériaux'!AB:AB,0,0)</f>
        <v>1.5624</v>
      </c>
      <c r="O33" s="1586">
        <f>$H33*_xlfn.XLOOKUP($G33,'Baumaterialien Matériaux'!$A:$A,'Baumaterialien Matériaux'!AC:AC,0,0)*44/12</f>
        <v>0</v>
      </c>
      <c r="P33" s="1586">
        <f>$H33*_xlfn.XLOOKUP($G33,'Baumaterialien Matériaux'!$A:$A,'Baumaterialien Matériaux'!AG:AG,0,0)</f>
        <v>0</v>
      </c>
      <c r="Q33" s="1586">
        <f>$H33*_xlfn.XLOOKUP($G33,'Baumaterialien Matériaux'!$A:$A,'Baumaterialien Matériaux'!AH:AH,0,0)</f>
        <v>0</v>
      </c>
      <c r="S33" s="133"/>
      <c r="T33" s="1911"/>
    </row>
    <row r="34" spans="1:21">
      <c r="A34" s="258"/>
      <c r="B34" s="1571" t="s">
        <v>3979</v>
      </c>
      <c r="C34" s="1405" t="s">
        <v>4002</v>
      </c>
      <c r="D34" s="1405" t="str">
        <f>VLOOKUP(G34,'Baumaterialien Matériaux'!$A$10:$AD$434,30,FALSE)</f>
        <v>Gravier concassé 1</v>
      </c>
      <c r="E34" s="1405"/>
      <c r="F34" s="1405" t="str">
        <f>VLOOKUP(G34,'Baumaterialien Matériaux'!$A$10:$AD$434,7,FALSE)</f>
        <v>kg</v>
      </c>
      <c r="G34" s="1405" t="s">
        <v>816</v>
      </c>
      <c r="H34" s="1405">
        <f>1500*0.3</f>
        <v>450</v>
      </c>
      <c r="I34" s="1405"/>
      <c r="J34" s="1568">
        <v>60</v>
      </c>
      <c r="K34" s="1586">
        <f>$H34*_xlfn.XLOOKUP($G34,'Baumaterialien Matériaux'!$A:$A,'Baumaterialien Matériaux'!V:V,0,0)</f>
        <v>14.444999999999999</v>
      </c>
      <c r="L34" s="1586">
        <f>$H34*_xlfn.XLOOKUP($G34,'Baumaterialien Matériaux'!$A:$A,'Baumaterialien Matériaux'!Y:Y,0,0)</f>
        <v>23.67</v>
      </c>
      <c r="M34" s="1586">
        <f>$H34*_xlfn.XLOOKUP($G34,'Baumaterialien Matériaux'!$A:$A,'Baumaterialien Matériaux'!AA:AA,0,0)</f>
        <v>2.2544999999999997</v>
      </c>
      <c r="N34" s="1586">
        <f>$H34*_xlfn.XLOOKUP($G34,'Baumaterialien Matériaux'!$A:$A,'Baumaterialien Matériaux'!AB:AB,0,0)</f>
        <v>5.67</v>
      </c>
      <c r="O34" s="1586">
        <f>$H34*_xlfn.XLOOKUP($G34,'Baumaterialien Matériaux'!$A:$A,'Baumaterialien Matériaux'!AC:AC,0,0)*44/12</f>
        <v>0</v>
      </c>
      <c r="P34" s="1586">
        <f>$H34*_xlfn.XLOOKUP($G34,'Baumaterialien Matériaux'!$A:$A,'Baumaterialien Matériaux'!AG:AG,0,0)</f>
        <v>0</v>
      </c>
      <c r="Q34" s="1586">
        <f>$H34*_xlfn.XLOOKUP($G34,'Baumaterialien Matériaux'!$A:$A,'Baumaterialien Matériaux'!AH:AH,0,0)</f>
        <v>0</v>
      </c>
      <c r="S34" s="133"/>
      <c r="T34" s="1911"/>
    </row>
    <row r="35" spans="1:21">
      <c r="A35" s="258"/>
      <c r="B35" s="1571" t="s">
        <v>3999</v>
      </c>
      <c r="C35" s="1405" t="s">
        <v>4016</v>
      </c>
      <c r="D35" s="1405" t="str">
        <f>VLOOKUP(G35,'Transporte Transports'!$A$10:$AD$432,27,FALSE)</f>
        <v>Excavations mécaniques, en moyenne</v>
      </c>
      <c r="E35" s="1405"/>
      <c r="F35" s="1405" t="str">
        <f>VLOOKUP(G35,'Transporte Transports'!$A$10:$AD$432,5,FALSE)</f>
        <v>m3</v>
      </c>
      <c r="G35" s="1405" t="s">
        <v>519</v>
      </c>
      <c r="H35" s="1405">
        <v>0.6</v>
      </c>
      <c r="I35" s="1405"/>
      <c r="J35" s="1568">
        <v>60</v>
      </c>
      <c r="K35" s="1586">
        <f>$H35*_xlfn.XLOOKUP($G35,'Transporte Transports'!$A:$A,'Transporte Transports'!R:R,0,0)</f>
        <v>0.98399999999999987</v>
      </c>
      <c r="L35" s="1586"/>
      <c r="M35" s="1569">
        <f>$H35*_xlfn.XLOOKUP($G35,'Transporte Transports'!$A:$A,'Transporte Transports'!V:V,0,0)</f>
        <v>0.25979999999999998</v>
      </c>
      <c r="N35" s="1569"/>
      <c r="O35" s="1586"/>
      <c r="P35" s="1586"/>
      <c r="Q35" s="1586"/>
      <c r="S35" s="133"/>
      <c r="T35" s="1912"/>
    </row>
    <row r="36" spans="1:21" ht="16.5" thickBot="1">
      <c r="A36" s="856"/>
      <c r="B36" s="856"/>
      <c r="C36" s="856"/>
      <c r="D36" s="856"/>
      <c r="E36" s="856"/>
      <c r="F36" s="856"/>
      <c r="G36" s="856"/>
      <c r="H36" s="856"/>
      <c r="I36" s="856"/>
      <c r="J36" s="856"/>
      <c r="K36" s="856">
        <f>SUM(K31:K35)</f>
        <v>64.883600000000001</v>
      </c>
      <c r="L36" s="856">
        <f t="shared" ref="L36:Q36" si="5">SUM(L31:L35)</f>
        <v>41.037280000000003</v>
      </c>
      <c r="M36" s="856">
        <f t="shared" si="5"/>
        <v>9.8155800000000006</v>
      </c>
      <c r="N36" s="856">
        <f t="shared" si="5"/>
        <v>9.8511400000000009</v>
      </c>
      <c r="O36" s="856">
        <f t="shared" si="5"/>
        <v>0</v>
      </c>
      <c r="P36" s="856">
        <f t="shared" si="5"/>
        <v>0</v>
      </c>
      <c r="Q36" s="856">
        <f t="shared" si="5"/>
        <v>0</v>
      </c>
      <c r="S36" s="1190">
        <f>(M36+N36)/J35</f>
        <v>0.32777866666666672</v>
      </c>
      <c r="T36" s="805"/>
    </row>
    <row r="37" spans="1:21" ht="16.5" thickTop="1">
      <c r="A37" s="1070"/>
      <c r="B37" s="1070"/>
      <c r="C37" s="1070"/>
      <c r="D37" s="1070"/>
      <c r="E37" s="1070"/>
      <c r="F37" s="1070"/>
      <c r="G37" s="1070"/>
      <c r="H37" s="1070"/>
      <c r="I37" s="1070"/>
      <c r="J37" s="1070"/>
      <c r="K37" s="1070"/>
      <c r="L37" s="1070"/>
      <c r="M37" s="1070"/>
      <c r="N37" s="1070"/>
      <c r="O37" s="1070"/>
      <c r="P37" s="1070"/>
      <c r="Q37" s="1070"/>
      <c r="S37" s="1190"/>
      <c r="T37" s="805"/>
    </row>
    <row r="38" spans="1:21" s="1405" customFormat="1">
      <c r="A38" s="1572" t="s">
        <v>4006</v>
      </c>
      <c r="B38" s="1405" t="s">
        <v>3772</v>
      </c>
      <c r="C38" s="1405" t="s">
        <v>4003</v>
      </c>
      <c r="D38" s="1405" t="str">
        <f>VLOOKUP(G38,'Baumaterialien Matériaux'!$A$10:$AD$434,30,FALSE)</f>
        <v>Plaque de grès dur</v>
      </c>
      <c r="F38" s="1405" t="str">
        <f>VLOOKUP(G38,'Baumaterialien Matériaux'!$A$10:$AD$434,7,FALSE)</f>
        <v>kg</v>
      </c>
      <c r="G38" s="1405" t="s">
        <v>678</v>
      </c>
      <c r="H38" s="1405">
        <f>2500*0.08</f>
        <v>200</v>
      </c>
      <c r="J38" s="1568">
        <v>60</v>
      </c>
      <c r="K38" s="1586">
        <f>$H38*_xlfn.XLOOKUP($G38,'Baumaterialien Matériaux'!$A:$A,'Baumaterialien Matériaux'!V:V,0,0)</f>
        <v>44.6</v>
      </c>
      <c r="L38" s="1586">
        <f>$H38*_xlfn.XLOOKUP($G38,'Baumaterialien Matériaux'!$A:$A,'Baumaterialien Matériaux'!Y:Y,0,0)</f>
        <v>10.52</v>
      </c>
      <c r="M38" s="1586">
        <f>$H38*_xlfn.XLOOKUP($G38,'Baumaterialien Matériaux'!$A:$A,'Baumaterialien Matériaux'!AA:AA,0,0)</f>
        <v>5.6000000000000005</v>
      </c>
      <c r="N38" s="1586">
        <f>$H38*_xlfn.XLOOKUP($G38,'Baumaterialien Matériaux'!$A:$A,'Baumaterialien Matériaux'!AB:AB,0,0)</f>
        <v>2.54</v>
      </c>
      <c r="O38" s="1586">
        <f>$H38*_xlfn.XLOOKUP($G38,'Baumaterialien Matériaux'!$A:$A,'Baumaterialien Matériaux'!AC:AC,0,0)*44/12</f>
        <v>0</v>
      </c>
      <c r="P38" s="1586">
        <f>$H38*_xlfn.XLOOKUP($G38,'Baumaterialien Matériaux'!$A:$A,'Baumaterialien Matériaux'!AG:AG,0,0)</f>
        <v>0</v>
      </c>
      <c r="Q38" s="1586">
        <f>$H38*_xlfn.XLOOKUP($G38,'Baumaterialien Matériaux'!$A:$A,'Baumaterialien Matériaux'!AH:AH,0,0)</f>
        <v>0</v>
      </c>
      <c r="T38" s="1519"/>
      <c r="U38" s="1571"/>
    </row>
    <row r="39" spans="1:21" s="1405" customFormat="1">
      <c r="A39" s="258"/>
      <c r="B39" s="1571" t="s">
        <v>3998</v>
      </c>
      <c r="C39" s="1570" t="s">
        <v>4023</v>
      </c>
      <c r="D39" s="1570" t="str">
        <f>VLOOKUP(G39,'Baumaterialien Matériaux'!$A$10:$AD$434,30,FALSE)</f>
        <v>Enduit de ciment</v>
      </c>
      <c r="E39" s="1570"/>
      <c r="F39" s="1570" t="str">
        <f>VLOOKUP(G39,'Baumaterialien Matériaux'!$A$10:$AD$434,7,FALSE)</f>
        <v>kg</v>
      </c>
      <c r="G39" s="1570" t="s">
        <v>625</v>
      </c>
      <c r="H39" s="1405">
        <f>1550*5/100*0.08</f>
        <v>6.2</v>
      </c>
      <c r="J39" s="1568">
        <v>60</v>
      </c>
      <c r="K39" s="1586">
        <f>$H39*_xlfn.XLOOKUP($G39,'Baumaterialien Matériaux'!$A:$A,'Baumaterialien Matériaux'!V:V,0,0)</f>
        <v>3.7324000000000002</v>
      </c>
      <c r="L39" s="1586">
        <f>$H39*_xlfn.XLOOKUP($G39,'Baumaterialien Matériaux'!$A:$A,'Baumaterialien Matériaux'!Y:Y,0,0)</f>
        <v>0.32488</v>
      </c>
      <c r="M39" s="1586">
        <f>$H39*_xlfn.XLOOKUP($G39,'Baumaterialien Matériaux'!$A:$A,'Baumaterialien Matériaux'!AA:AA,0,0)</f>
        <v>1.5376000000000001</v>
      </c>
      <c r="N39" s="1586">
        <f>$H39*_xlfn.XLOOKUP($G39,'Baumaterialien Matériaux'!$A:$A,'Baumaterialien Matériaux'!AB:AB,0,0)</f>
        <v>7.8740000000000004E-2</v>
      </c>
      <c r="O39" s="1586">
        <f>$H39*_xlfn.XLOOKUP($G39,'Baumaterialien Matériaux'!$A:$A,'Baumaterialien Matériaux'!AC:AC,0,0)*44/12</f>
        <v>0</v>
      </c>
      <c r="P39" s="1586">
        <f>$H39*_xlfn.XLOOKUP($G39,'Baumaterialien Matériaux'!$A:$A,'Baumaterialien Matériaux'!AG:AG,0,0)</f>
        <v>0</v>
      </c>
      <c r="Q39" s="1586">
        <f>$H39*_xlfn.XLOOKUP($G39,'Baumaterialien Matériaux'!$A:$A,'Baumaterialien Matériaux'!AH:AH,0,0)</f>
        <v>0</v>
      </c>
      <c r="T39" s="1519"/>
      <c r="U39" s="1571"/>
    </row>
    <row r="40" spans="1:21" s="1405" customFormat="1">
      <c r="A40" s="258"/>
      <c r="B40" s="1571" t="s">
        <v>4000</v>
      </c>
      <c r="C40" s="1405" t="s">
        <v>4025</v>
      </c>
      <c r="D40" s="1405" t="str">
        <f>VLOOKUP(G40,'Baumaterialien Matériaux'!$A$10:$AD$434,30,FALSE)</f>
        <v>Granulés de béton 1</v>
      </c>
      <c r="F40" s="1405" t="str">
        <f>VLOOKUP(G40,'Baumaterialien Matériaux'!$A$10:$AD$434,7,FALSE)</f>
        <v>kg</v>
      </c>
      <c r="G40" s="1405" t="s">
        <v>1272</v>
      </c>
      <c r="H40" s="1405">
        <f>1550*0.08</f>
        <v>124</v>
      </c>
      <c r="J40" s="1568">
        <v>60</v>
      </c>
      <c r="K40" s="1586">
        <f>$H40*_xlfn.XLOOKUP($G40,'Baumaterialien Matériaux'!$A:$A,'Baumaterialien Matériaux'!V:V,0,0)</f>
        <v>1.1222000000000001</v>
      </c>
      <c r="L40" s="1586">
        <f>$H40*_xlfn.XLOOKUP($G40,'Baumaterialien Matériaux'!$A:$A,'Baumaterialien Matériaux'!Y:Y,0,0)</f>
        <v>6.5224000000000002</v>
      </c>
      <c r="M40" s="1586">
        <f>$H40*_xlfn.XLOOKUP($G40,'Baumaterialien Matériaux'!$A:$A,'Baumaterialien Matériaux'!AA:AA,0,0)</f>
        <v>0.16367999999999999</v>
      </c>
      <c r="N40" s="1586">
        <f>$H40*_xlfn.XLOOKUP($G40,'Baumaterialien Matériaux'!$A:$A,'Baumaterialien Matériaux'!AB:AB,0,0)</f>
        <v>1.5624</v>
      </c>
      <c r="O40" s="1586">
        <f>$H40*_xlfn.XLOOKUP($G40,'Baumaterialien Matériaux'!$A:$A,'Baumaterialien Matériaux'!AC:AC,0,0)*44/12</f>
        <v>0</v>
      </c>
      <c r="P40" s="1586">
        <f>$H40*_xlfn.XLOOKUP($G40,'Baumaterialien Matériaux'!$A:$A,'Baumaterialien Matériaux'!AG:AG,0,0)</f>
        <v>0</v>
      </c>
      <c r="Q40" s="1586">
        <f>$H40*_xlfn.XLOOKUP($G40,'Baumaterialien Matériaux'!$A:$A,'Baumaterialien Matériaux'!AH:AH,0,0)</f>
        <v>0</v>
      </c>
      <c r="T40" s="1519"/>
      <c r="U40" s="1571"/>
    </row>
    <row r="41" spans="1:21" s="1405" customFormat="1">
      <c r="A41" s="258"/>
      <c r="B41" s="1571" t="s">
        <v>3981</v>
      </c>
      <c r="C41" s="1405" t="s">
        <v>4004</v>
      </c>
      <c r="D41" s="1405" t="str">
        <f>VLOOKUP(G41,'Baumaterialien Matériaux'!$A$10:$AD$434,30,FALSE)</f>
        <v>Béton maigre (sans armature)</v>
      </c>
      <c r="F41" s="1405" t="str">
        <f>VLOOKUP(G41,'Baumaterialien Matériaux'!$A$10:$AD$434,7,FALSE)</f>
        <v>kg</v>
      </c>
      <c r="G41" s="1405" t="s">
        <v>568</v>
      </c>
      <c r="H41" s="1405">
        <f>2150*0.12</f>
        <v>258</v>
      </c>
      <c r="J41" s="1568">
        <v>60</v>
      </c>
      <c r="K41" s="1586">
        <f>$H41*_xlfn.XLOOKUP($G41,'Baumaterialien Matériaux'!$A:$A,'Baumaterialien Matériaux'!V:V,0,0)</f>
        <v>19.788600000000002</v>
      </c>
      <c r="L41" s="1586">
        <f>$H41*_xlfn.XLOOKUP($G41,'Baumaterialien Matériaux'!$A:$A,'Baumaterialien Matériaux'!Y:Y,0,0)</f>
        <v>13.312799999999999</v>
      </c>
      <c r="M41" s="1586">
        <f>$H41*_xlfn.XLOOKUP($G41,'Baumaterialien Matériaux'!$A:$A,'Baumaterialien Matériaux'!AA:AA,0,0)</f>
        <v>12.951600000000001</v>
      </c>
      <c r="N41" s="1586">
        <f>$H41*_xlfn.XLOOKUP($G41,'Baumaterialien Matériaux'!$A:$A,'Baumaterialien Matériaux'!AB:AB,0,0)</f>
        <v>3.2507999999999999</v>
      </c>
      <c r="O41" s="1586">
        <f>$H41*_xlfn.XLOOKUP($G41,'Baumaterialien Matériaux'!$A:$A,'Baumaterialien Matériaux'!AC:AC,0,0)*44/12</f>
        <v>0</v>
      </c>
      <c r="P41" s="1586">
        <f>$H41*_xlfn.XLOOKUP($G41,'Baumaterialien Matériaux'!$A:$A,'Baumaterialien Matériaux'!AG:AG,0,0)</f>
        <v>0</v>
      </c>
      <c r="Q41" s="1586">
        <f>$H41*_xlfn.XLOOKUP($G41,'Baumaterialien Matériaux'!$A:$A,'Baumaterialien Matériaux'!AH:AH,0,0)</f>
        <v>0</v>
      </c>
      <c r="T41" s="1519"/>
      <c r="U41" s="1571"/>
    </row>
    <row r="42" spans="1:21" s="1405" customFormat="1">
      <c r="A42" s="258"/>
      <c r="B42" s="1571" t="s">
        <v>3979</v>
      </c>
      <c r="C42" s="1405" t="s">
        <v>4005</v>
      </c>
      <c r="D42" s="1405" t="str">
        <f>VLOOKUP(G42,'Baumaterialien Matériaux'!$A$10:$AD$434,30,FALSE)</f>
        <v>Gravier concassé 1</v>
      </c>
      <c r="F42" s="1405" t="str">
        <f>VLOOKUP(G42,'Baumaterialien Matériaux'!$A$10:$AD$434,7,FALSE)</f>
        <v>kg</v>
      </c>
      <c r="G42" s="1405" t="s">
        <v>816</v>
      </c>
      <c r="H42" s="1405">
        <f>1500*0.1</f>
        <v>150</v>
      </c>
      <c r="J42" s="1568">
        <v>61</v>
      </c>
      <c r="K42" s="1586">
        <f>$H42*_xlfn.XLOOKUP($G42,'Baumaterialien Matériaux'!$A:$A,'Baumaterialien Matériaux'!V:V,0,0)</f>
        <v>4.8149999999999995</v>
      </c>
      <c r="L42" s="1586">
        <f>$H42*_xlfn.XLOOKUP($G42,'Baumaterialien Matériaux'!$A:$A,'Baumaterialien Matériaux'!Y:Y,0,0)</f>
        <v>7.8900000000000006</v>
      </c>
      <c r="M42" s="1586">
        <f>$H42*_xlfn.XLOOKUP($G42,'Baumaterialien Matériaux'!$A:$A,'Baumaterialien Matériaux'!AA:AA,0,0)</f>
        <v>0.75149999999999995</v>
      </c>
      <c r="N42" s="1586">
        <f>$H42*_xlfn.XLOOKUP($G42,'Baumaterialien Matériaux'!$A:$A,'Baumaterialien Matériaux'!AB:AB,0,0)</f>
        <v>1.8900000000000001</v>
      </c>
      <c r="O42" s="1586">
        <f>$H42*_xlfn.XLOOKUP($G42,'Baumaterialien Matériaux'!$A:$A,'Baumaterialien Matériaux'!AC:AC,0,0)*44/12</f>
        <v>0</v>
      </c>
      <c r="P42" s="1586">
        <f>$H42*_xlfn.XLOOKUP($G42,'Baumaterialien Matériaux'!$A:$A,'Baumaterialien Matériaux'!AG:AG,0,0)</f>
        <v>0</v>
      </c>
      <c r="Q42" s="1586">
        <f>$H42*_xlfn.XLOOKUP($G42,'Baumaterialien Matériaux'!$A:$A,'Baumaterialien Matériaux'!AH:AH,0,0)</f>
        <v>0</v>
      </c>
      <c r="T42" s="1519"/>
      <c r="U42" s="1571"/>
    </row>
    <row r="43" spans="1:21" s="1405" customFormat="1">
      <c r="A43" s="258"/>
      <c r="B43" s="1571" t="s">
        <v>3999</v>
      </c>
      <c r="C43" s="1405" t="s">
        <v>4016</v>
      </c>
      <c r="D43" s="1405" t="str">
        <f>VLOOKUP(G43,'Transporte Transports'!$A$10:$AD$432,27,FALSE)</f>
        <v>Excavations mécaniques, en moyenne</v>
      </c>
      <c r="F43" s="1405" t="str">
        <f>VLOOKUP(G43,'Transporte Transports'!$A$10:$AD$432,5,FALSE)</f>
        <v>m3</v>
      </c>
      <c r="G43" s="1405" t="s">
        <v>519</v>
      </c>
      <c r="H43" s="1405">
        <v>0.6</v>
      </c>
      <c r="J43" s="1568">
        <v>60</v>
      </c>
      <c r="K43" s="1586">
        <f>$H43*_xlfn.XLOOKUP($G43,'Transporte Transports'!$A:$A,'Transporte Transports'!R:R,0,0)</f>
        <v>0.98399999999999987</v>
      </c>
      <c r="L43" s="1586"/>
      <c r="M43" s="1569">
        <f>$H43*_xlfn.XLOOKUP($G43,'Transporte Transports'!$A:$A,'Transporte Transports'!V:V,0,0)</f>
        <v>0.25979999999999998</v>
      </c>
      <c r="N43" s="1569"/>
      <c r="O43" s="1586"/>
      <c r="P43" s="1586"/>
      <c r="Q43" s="1586"/>
      <c r="T43" s="1519"/>
      <c r="U43" s="1571"/>
    </row>
    <row r="44" spans="1:21" ht="16.5" thickBot="1">
      <c r="A44" s="856"/>
      <c r="B44" s="856"/>
      <c r="C44" s="856"/>
      <c r="D44" s="856"/>
      <c r="E44" s="856"/>
      <c r="F44" s="856"/>
      <c r="G44" s="856"/>
      <c r="H44" s="856"/>
      <c r="I44" s="856"/>
      <c r="J44" s="856"/>
      <c r="K44" s="856">
        <f>SUM(K38:K43)</f>
        <v>75.042199999999994</v>
      </c>
      <c r="L44" s="856">
        <f t="shared" ref="L44:Q44" si="6">SUM(L38:L43)</f>
        <v>38.570080000000004</v>
      </c>
      <c r="M44" s="856">
        <f t="shared" si="6"/>
        <v>21.26418</v>
      </c>
      <c r="N44" s="856">
        <f t="shared" si="6"/>
        <v>9.3219399999999997</v>
      </c>
      <c r="O44" s="856">
        <f t="shared" si="6"/>
        <v>0</v>
      </c>
      <c r="P44" s="856">
        <f t="shared" si="6"/>
        <v>0</v>
      </c>
      <c r="Q44" s="856">
        <f t="shared" si="6"/>
        <v>0</v>
      </c>
      <c r="S44" s="1190">
        <f>(M44+N44)/J43</f>
        <v>0.50976866666666665</v>
      </c>
      <c r="T44" s="805"/>
    </row>
    <row r="45" spans="1:21" ht="16.5" thickTop="1"/>
    <row r="46" spans="1:21" s="978" customFormat="1">
      <c r="A46" s="1572" t="s">
        <v>4007</v>
      </c>
      <c r="B46" s="1405" t="s">
        <v>3772</v>
      </c>
      <c r="C46" s="1405" t="s">
        <v>4017</v>
      </c>
      <c r="D46" s="1405" t="str">
        <f>VLOOKUP(G46,'Baumaterialien Matériaux'!$A$10:$AD$434,30,FALSE)</f>
        <v>Plaque de grès dur</v>
      </c>
      <c r="E46" s="1405"/>
      <c r="F46" s="1405" t="str">
        <f>VLOOKUP(G46,'Baumaterialien Matériaux'!$A$10:$AD$434,7,FALSE)</f>
        <v>kg</v>
      </c>
      <c r="G46" s="1405" t="s">
        <v>678</v>
      </c>
      <c r="H46" s="1405">
        <f>2500*0.11</f>
        <v>275</v>
      </c>
      <c r="I46" s="1405"/>
      <c r="J46" s="1568">
        <v>60</v>
      </c>
      <c r="K46" s="1586">
        <f>$H46*_xlfn.XLOOKUP($G46,'Baumaterialien Matériaux'!$A:$A,'Baumaterialien Matériaux'!V:V,0,0)</f>
        <v>61.325000000000003</v>
      </c>
      <c r="L46" s="1586">
        <f>$H46*_xlfn.XLOOKUP($G46,'Baumaterialien Matériaux'!$A:$A,'Baumaterialien Matériaux'!Y:Y,0,0)</f>
        <v>14.465</v>
      </c>
      <c r="M46" s="1586">
        <f>$H46*_xlfn.XLOOKUP($G46,'Baumaterialien Matériaux'!$A:$A,'Baumaterialien Matériaux'!AA:AA,0,0)</f>
        <v>7.7</v>
      </c>
      <c r="N46" s="1586">
        <f>$H46*_xlfn.XLOOKUP($G46,'Baumaterialien Matériaux'!$A:$A,'Baumaterialien Matériaux'!AB:AB,0,0)</f>
        <v>3.4924999999999997</v>
      </c>
      <c r="O46" s="1586">
        <f>$H46*_xlfn.XLOOKUP($G46,'Baumaterialien Matériaux'!$A:$A,'Baumaterialien Matériaux'!AC:AC,0,0)*44/12</f>
        <v>0</v>
      </c>
      <c r="P46" s="1586">
        <f>$H46*_xlfn.XLOOKUP($G46,'Baumaterialien Matériaux'!$A:$A,'Baumaterialien Matériaux'!AG:AG,0,0)</f>
        <v>0</v>
      </c>
      <c r="Q46" s="1586">
        <f>$H46*_xlfn.XLOOKUP($G46,'Baumaterialien Matériaux'!$A:$A,'Baumaterialien Matériaux'!AH:AH,0,0)</f>
        <v>0</v>
      </c>
      <c r="S46" s="133"/>
      <c r="T46" s="1911"/>
    </row>
    <row r="47" spans="1:21" s="1405" customFormat="1">
      <c r="A47" s="258"/>
      <c r="B47" s="1571" t="s">
        <v>3998</v>
      </c>
      <c r="C47" s="1570"/>
      <c r="D47" s="1570" t="str">
        <f>VLOOKUP(G47,'Baumaterialien Matériaux'!$A$10:$AD$434,30,FALSE)</f>
        <v>Sable 1</v>
      </c>
      <c r="E47" s="1570"/>
      <c r="F47" s="1570" t="str">
        <f>VLOOKUP(G47,'Baumaterialien Matériaux'!$A$10:$AD$434,7,FALSE)</f>
        <v>kg</v>
      </c>
      <c r="G47" s="1358" t="s">
        <v>758</v>
      </c>
      <c r="H47" s="1405">
        <f>1500*5/100*0.04</f>
        <v>3</v>
      </c>
      <c r="J47" s="1568">
        <v>60</v>
      </c>
      <c r="K47" s="1586">
        <f>$H47*_xlfn.XLOOKUP($G47,'Baumaterialien Matériaux'!$A:$A,'Baumaterialien Matériaux'!V:V,0,0)</f>
        <v>4.6799999999999994E-2</v>
      </c>
      <c r="L47" s="1586">
        <f>$H47*_xlfn.XLOOKUP($G47,'Baumaterialien Matériaux'!$A:$A,'Baumaterialien Matériaux'!Y:Y,0,0)</f>
        <v>0.1578</v>
      </c>
      <c r="M47" s="1587">
        <f>$H47*_xlfn.XLOOKUP($G47,'Baumaterialien Matériaux'!$A:$A,'Baumaterialien Matériaux'!AA:AA,0,0)</f>
        <v>9.1500000000000001E-3</v>
      </c>
      <c r="N47" s="1587">
        <f>$H47*_xlfn.XLOOKUP($G47,'Baumaterialien Matériaux'!$A:$A,'Baumaterialien Matériaux'!AB:AB,0,0)</f>
        <v>3.78E-2</v>
      </c>
      <c r="O47" s="1586">
        <f>$H47*_xlfn.XLOOKUP($G47,'Baumaterialien Matériaux'!$A:$A,'Baumaterialien Matériaux'!AC:AC,0,0)*44/12</f>
        <v>0</v>
      </c>
      <c r="P47" s="1586">
        <f>$H47*_xlfn.XLOOKUP($G47,'Baumaterialien Matériaux'!$A:$A,'Baumaterialien Matériaux'!AG:AG,0,0)</f>
        <v>0</v>
      </c>
      <c r="Q47" s="1586">
        <f>$H47*_xlfn.XLOOKUP($G47,'Baumaterialien Matériaux'!$A:$A,'Baumaterialien Matériaux'!AH:AH,0,0)</f>
        <v>0</v>
      </c>
      <c r="T47" s="1911"/>
      <c r="U47" s="1571"/>
    </row>
    <row r="48" spans="1:21">
      <c r="A48" s="258"/>
      <c r="B48" s="1571" t="s">
        <v>3978</v>
      </c>
      <c r="C48" s="1405" t="s">
        <v>4019</v>
      </c>
      <c r="D48" s="1405" t="str">
        <f>VLOOKUP(G48,'Baumaterialien Matériaux'!$A$10:$AD$434,30,FALSE)</f>
        <v>Gravier concassé 1</v>
      </c>
      <c r="E48" s="1405"/>
      <c r="F48" s="1405" t="str">
        <f>VLOOKUP(G48,'Baumaterialien Matériaux'!$A$10:$AD$434,7,FALSE)</f>
        <v>kg</v>
      </c>
      <c r="G48" s="1405" t="s">
        <v>816</v>
      </c>
      <c r="H48" s="1405">
        <f>1550*5/100*0.11</f>
        <v>8.5250000000000004</v>
      </c>
      <c r="I48" s="1405"/>
      <c r="J48" s="1568">
        <v>60</v>
      </c>
      <c r="K48" s="1586">
        <f>$H48*_xlfn.XLOOKUP($G48,'Baumaterialien Matériaux'!$A:$A,'Baumaterialien Matériaux'!V:V,0,0)</f>
        <v>0.27365249999999997</v>
      </c>
      <c r="L48" s="1586">
        <f>$H48*_xlfn.XLOOKUP($G48,'Baumaterialien Matériaux'!$A:$A,'Baumaterialien Matériaux'!Y:Y,0,0)</f>
        <v>0.44841500000000001</v>
      </c>
      <c r="M48" s="1586">
        <f>$H48*_xlfn.XLOOKUP($G48,'Baumaterialien Matériaux'!$A:$A,'Baumaterialien Matériaux'!AA:AA,0,0)</f>
        <v>4.2710249999999998E-2</v>
      </c>
      <c r="N48" s="1586">
        <f>$H48*_xlfn.XLOOKUP($G48,'Baumaterialien Matériaux'!$A:$A,'Baumaterialien Matériaux'!AB:AB,0,0)</f>
        <v>0.10741500000000001</v>
      </c>
      <c r="O48" s="1586">
        <f>$H48*_xlfn.XLOOKUP($G48,'Baumaterialien Matériaux'!$A:$A,'Baumaterialien Matériaux'!AC:AC,0,0)*44/12</f>
        <v>0</v>
      </c>
      <c r="P48" s="1586">
        <f>$H48*_xlfn.XLOOKUP($G48,'Baumaterialien Matériaux'!$A:$A,'Baumaterialien Matériaux'!AG:AG,0,0)</f>
        <v>0</v>
      </c>
      <c r="Q48" s="1586">
        <f>$H48*_xlfn.XLOOKUP($G48,'Baumaterialien Matériaux'!$A:$A,'Baumaterialien Matériaux'!AH:AH,0,0)</f>
        <v>0</v>
      </c>
      <c r="S48" s="133"/>
      <c r="T48" s="1911"/>
    </row>
    <row r="49" spans="1:21">
      <c r="A49" s="258"/>
      <c r="B49" s="1571" t="s">
        <v>3979</v>
      </c>
      <c r="C49" s="1405" t="s">
        <v>4002</v>
      </c>
      <c r="D49" s="1405" t="str">
        <f>VLOOKUP(G49,'Baumaterialien Matériaux'!$A$10:$AD$434,30,FALSE)</f>
        <v>Gravier concassé 1</v>
      </c>
      <c r="E49" s="1405"/>
      <c r="F49" s="1405" t="str">
        <f>VLOOKUP(G49,'Baumaterialien Matériaux'!$A$10:$AD$434,7,FALSE)</f>
        <v>kg</v>
      </c>
      <c r="G49" s="1405" t="s">
        <v>816</v>
      </c>
      <c r="H49" s="1405">
        <f>1500*0.3</f>
        <v>450</v>
      </c>
      <c r="I49" s="1405"/>
      <c r="J49" s="1568">
        <v>60</v>
      </c>
      <c r="K49" s="1586">
        <f>$H49*_xlfn.XLOOKUP($G49,'Baumaterialien Matériaux'!$A:$A,'Baumaterialien Matériaux'!V:V,0,0)</f>
        <v>14.444999999999999</v>
      </c>
      <c r="L49" s="1586">
        <f>$H49*_xlfn.XLOOKUP($G49,'Baumaterialien Matériaux'!$A:$A,'Baumaterialien Matériaux'!Y:Y,0,0)</f>
        <v>23.67</v>
      </c>
      <c r="M49" s="1586">
        <f>$H49*_xlfn.XLOOKUP($G49,'Baumaterialien Matériaux'!$A:$A,'Baumaterialien Matériaux'!AA:AA,0,0)</f>
        <v>2.2544999999999997</v>
      </c>
      <c r="N49" s="1586">
        <f>$H49*_xlfn.XLOOKUP($G49,'Baumaterialien Matériaux'!$A:$A,'Baumaterialien Matériaux'!AB:AB,0,0)</f>
        <v>5.67</v>
      </c>
      <c r="O49" s="1586">
        <f>$H49*_xlfn.XLOOKUP($G49,'Baumaterialien Matériaux'!$A:$A,'Baumaterialien Matériaux'!AC:AC,0,0)*44/12</f>
        <v>0</v>
      </c>
      <c r="P49" s="1586">
        <f>$H49*_xlfn.XLOOKUP($G49,'Baumaterialien Matériaux'!$A:$A,'Baumaterialien Matériaux'!AG:AG,0,0)</f>
        <v>0</v>
      </c>
      <c r="Q49" s="1586">
        <f>$H49*_xlfn.XLOOKUP($G49,'Baumaterialien Matériaux'!$A:$A,'Baumaterialien Matériaux'!AH:AH,0,0)</f>
        <v>0</v>
      </c>
      <c r="S49" s="133"/>
      <c r="T49" s="1911"/>
    </row>
    <row r="50" spans="1:21">
      <c r="A50" s="258"/>
      <c r="B50" s="1571" t="s">
        <v>3999</v>
      </c>
      <c r="C50" s="1405" t="s">
        <v>4016</v>
      </c>
      <c r="D50" s="1405" t="str">
        <f>VLOOKUP(G50,'Transporte Transports'!$A$10:$AD$432,27,FALSE)</f>
        <v>Excavations mécaniques, en moyenne</v>
      </c>
      <c r="E50" s="1405"/>
      <c r="F50" s="1405" t="str">
        <f>VLOOKUP(G50,'Transporte Transports'!$A$10:$AD$432,5,FALSE)</f>
        <v>m3</v>
      </c>
      <c r="G50" s="1405" t="s">
        <v>519</v>
      </c>
      <c r="H50" s="1405">
        <v>0.6</v>
      </c>
      <c r="I50" s="1405"/>
      <c r="J50" s="1568">
        <v>60</v>
      </c>
      <c r="K50" s="1586">
        <f>$H50*_xlfn.XLOOKUP($G50,'Transporte Transports'!$A:$A,'Transporte Transports'!R:R,0,0)</f>
        <v>0.98399999999999987</v>
      </c>
      <c r="L50" s="1586"/>
      <c r="M50" s="1569">
        <f>$H50*_xlfn.XLOOKUP($G50,'Transporte Transports'!$A:$A,'Transporte Transports'!V:V,0,0)</f>
        <v>0.25979999999999998</v>
      </c>
      <c r="N50" s="1569"/>
      <c r="O50" s="1586"/>
      <c r="P50" s="1586"/>
      <c r="Q50" s="1586"/>
      <c r="S50" s="133"/>
      <c r="T50" s="1912"/>
    </row>
    <row r="51" spans="1:21" ht="16.5" thickBot="1">
      <c r="A51" s="856"/>
      <c r="B51" s="856"/>
      <c r="C51" s="856"/>
      <c r="D51" s="856"/>
      <c r="E51" s="856"/>
      <c r="F51" s="856"/>
      <c r="G51" s="856"/>
      <c r="H51" s="856"/>
      <c r="I51" s="856"/>
      <c r="J51" s="856"/>
      <c r="K51" s="856">
        <f t="shared" ref="K51:Q51" si="7">SUM(K46:K50)</f>
        <v>77.074452499999992</v>
      </c>
      <c r="L51" s="856">
        <f t="shared" si="7"/>
        <v>38.741215000000004</v>
      </c>
      <c r="M51" s="856">
        <f t="shared" si="7"/>
        <v>10.26616025</v>
      </c>
      <c r="N51" s="856">
        <f t="shared" si="7"/>
        <v>9.307715</v>
      </c>
      <c r="O51" s="856">
        <f t="shared" si="7"/>
        <v>0</v>
      </c>
      <c r="P51" s="856">
        <f t="shared" si="7"/>
        <v>0</v>
      </c>
      <c r="Q51" s="856">
        <f t="shared" si="7"/>
        <v>0</v>
      </c>
      <c r="S51" s="1190">
        <f>(M51+N51)/J50</f>
        <v>0.32623125416666665</v>
      </c>
      <c r="T51" s="805">
        <f>S51*60</f>
        <v>19.57387525</v>
      </c>
    </row>
    <row r="52" spans="1:21" ht="16.5" thickTop="1"/>
    <row r="53" spans="1:21" s="1405" customFormat="1">
      <c r="A53" s="1572" t="s">
        <v>4008</v>
      </c>
      <c r="B53" s="1405" t="s">
        <v>3772</v>
      </c>
      <c r="C53" s="1405" t="s">
        <v>4009</v>
      </c>
      <c r="D53" s="1405" t="str">
        <f>VLOOKUP(G53,'Baumaterialien Matériaux'!$A$10:$AD$434,30,FALSE)</f>
        <v>Plaque de grès dur</v>
      </c>
      <c r="F53" s="1405" t="str">
        <f>VLOOKUP(G53,'Baumaterialien Matériaux'!$A$10:$AD$434,7,FALSE)</f>
        <v>kg</v>
      </c>
      <c r="G53" s="1405" t="s">
        <v>678</v>
      </c>
      <c r="H53" s="1405">
        <f>2500*0.11</f>
        <v>275</v>
      </c>
      <c r="J53" s="1568">
        <v>60</v>
      </c>
      <c r="K53" s="1586">
        <f>$H53*_xlfn.XLOOKUP($G53,'Baumaterialien Matériaux'!$A:$A,'Baumaterialien Matériaux'!V:V,0,0)</f>
        <v>61.325000000000003</v>
      </c>
      <c r="L53" s="1586">
        <f>$H53*_xlfn.XLOOKUP($G53,'Baumaterialien Matériaux'!$A:$A,'Baumaterialien Matériaux'!Y:Y,0,0)</f>
        <v>14.465</v>
      </c>
      <c r="M53" s="1586">
        <f>$H53*_xlfn.XLOOKUP($G53,'Baumaterialien Matériaux'!$A:$A,'Baumaterialien Matériaux'!AA:AA,0,0)</f>
        <v>7.7</v>
      </c>
      <c r="N53" s="1586">
        <f>$H53*_xlfn.XLOOKUP($G53,'Baumaterialien Matériaux'!$A:$A,'Baumaterialien Matériaux'!AB:AB,0,0)</f>
        <v>3.4924999999999997</v>
      </c>
      <c r="O53" s="1586">
        <f>$H53*_xlfn.XLOOKUP($G53,'Baumaterialien Matériaux'!$A:$A,'Baumaterialien Matériaux'!AC:AC,0,0)*44/12</f>
        <v>0</v>
      </c>
      <c r="P53" s="1586">
        <f>$H53*_xlfn.XLOOKUP($G53,'Baumaterialien Matériaux'!$A:$A,'Baumaterialien Matériaux'!AG:AG,0,0)</f>
        <v>0</v>
      </c>
      <c r="Q53" s="1586">
        <f>$H53*_xlfn.XLOOKUP($G53,'Baumaterialien Matériaux'!$A:$A,'Baumaterialien Matériaux'!AH:AH,0,0)</f>
        <v>0</v>
      </c>
      <c r="T53" s="1519"/>
      <c r="U53" s="1571"/>
    </row>
    <row r="54" spans="1:21" s="1405" customFormat="1">
      <c r="A54" s="258"/>
      <c r="B54" s="1571" t="s">
        <v>3998</v>
      </c>
      <c r="C54" s="1570" t="s">
        <v>4023</v>
      </c>
      <c r="D54" s="1570" t="str">
        <f>VLOOKUP(G54,'Baumaterialien Matériaux'!$A$10:$AD$434,30,FALSE)</f>
        <v>Enduit de ciment</v>
      </c>
      <c r="E54" s="1570"/>
      <c r="F54" s="1570" t="str">
        <f>VLOOKUP(G54,'Baumaterialien Matériaux'!$A$10:$AD$434,7,FALSE)</f>
        <v>kg</v>
      </c>
      <c r="G54" s="1570" t="s">
        <v>625</v>
      </c>
      <c r="H54" s="1405">
        <f>1550*5/100*0.11</f>
        <v>8.5250000000000004</v>
      </c>
      <c r="J54" s="1568">
        <v>60</v>
      </c>
      <c r="K54" s="1586">
        <f>$H54*_xlfn.XLOOKUP($G54,'Baumaterialien Matériaux'!$A:$A,'Baumaterialien Matériaux'!V:V,0,0)</f>
        <v>5.1320500000000004</v>
      </c>
      <c r="L54" s="1586">
        <f>$H54*_xlfn.XLOOKUP($G54,'Baumaterialien Matériaux'!$A:$A,'Baumaterialien Matériaux'!Y:Y,0,0)</f>
        <v>0.44671000000000005</v>
      </c>
      <c r="M54" s="1586">
        <f>$H54*_xlfn.XLOOKUP($G54,'Baumaterialien Matériaux'!$A:$A,'Baumaterialien Matériaux'!AA:AA,0,0)</f>
        <v>2.1141999999999999</v>
      </c>
      <c r="N54" s="1586">
        <f>$H54*_xlfn.XLOOKUP($G54,'Baumaterialien Matériaux'!$A:$A,'Baumaterialien Matériaux'!AB:AB,0,0)</f>
        <v>0.1082675</v>
      </c>
      <c r="O54" s="1586">
        <f>$H54*_xlfn.XLOOKUP($G54,'Baumaterialien Matériaux'!$A:$A,'Baumaterialien Matériaux'!AC:AC,0,0)*44/12</f>
        <v>0</v>
      </c>
      <c r="P54" s="1586">
        <f>$H54*_xlfn.XLOOKUP($G54,'Baumaterialien Matériaux'!$A:$A,'Baumaterialien Matériaux'!AG:AG,0,0)</f>
        <v>0</v>
      </c>
      <c r="Q54" s="1586">
        <f>$H54*_xlfn.XLOOKUP($G54,'Baumaterialien Matériaux'!$A:$A,'Baumaterialien Matériaux'!AH:AH,0,0)</f>
        <v>0</v>
      </c>
      <c r="T54" s="1519"/>
      <c r="U54" s="1571"/>
    </row>
    <row r="55" spans="1:21" s="1405" customFormat="1">
      <c r="A55" s="258"/>
      <c r="B55" s="1571" t="s">
        <v>4000</v>
      </c>
      <c r="C55" s="1405" t="s">
        <v>4026</v>
      </c>
      <c r="D55" s="1405" t="str">
        <f>VLOOKUP(G55,'Baumaterialien Matériaux'!$A$10:$AD$434,30,FALSE)</f>
        <v>Granulés de béton 1</v>
      </c>
      <c r="F55" s="1405" t="str">
        <f>VLOOKUP(G55,'Baumaterialien Matériaux'!$A$10:$AD$434,7,FALSE)</f>
        <v>kg</v>
      </c>
      <c r="G55" s="1405" t="s">
        <v>1272</v>
      </c>
      <c r="H55" s="1405">
        <f>1550*0.07</f>
        <v>108.50000000000001</v>
      </c>
      <c r="J55" s="1568">
        <v>60</v>
      </c>
      <c r="K55" s="1586">
        <f>$H55*_xlfn.XLOOKUP($G55,'Baumaterialien Matériaux'!$A:$A,'Baumaterialien Matériaux'!V:V,0,0)</f>
        <v>0.98192500000000016</v>
      </c>
      <c r="L55" s="1586">
        <f>$H55*_xlfn.XLOOKUP($G55,'Baumaterialien Matériaux'!$A:$A,'Baumaterialien Matériaux'!Y:Y,0,0)</f>
        <v>5.7071000000000005</v>
      </c>
      <c r="M55" s="1586">
        <f>$H55*_xlfn.XLOOKUP($G55,'Baumaterialien Matériaux'!$A:$A,'Baumaterialien Matériaux'!AA:AA,0,0)</f>
        <v>0.14322000000000001</v>
      </c>
      <c r="N55" s="1586">
        <f>$H55*_xlfn.XLOOKUP($G55,'Baumaterialien Matériaux'!$A:$A,'Baumaterialien Matériaux'!AB:AB,0,0)</f>
        <v>1.3671000000000002</v>
      </c>
      <c r="O55" s="1586">
        <f>$H55*_xlfn.XLOOKUP($G55,'Baumaterialien Matériaux'!$A:$A,'Baumaterialien Matériaux'!AC:AC,0,0)*44/12</f>
        <v>0</v>
      </c>
      <c r="P55" s="1586">
        <f>$H55*_xlfn.XLOOKUP($G55,'Baumaterialien Matériaux'!$A:$A,'Baumaterialien Matériaux'!AG:AG,0,0)</f>
        <v>0</v>
      </c>
      <c r="Q55" s="1586">
        <f>$H55*_xlfn.XLOOKUP($G55,'Baumaterialien Matériaux'!$A:$A,'Baumaterialien Matériaux'!AH:AH,0,0)</f>
        <v>0</v>
      </c>
      <c r="T55" s="1519"/>
      <c r="U55" s="1571"/>
    </row>
    <row r="56" spans="1:21" s="1405" customFormat="1">
      <c r="A56" s="258"/>
      <c r="B56" s="1571" t="s">
        <v>3981</v>
      </c>
      <c r="C56" s="1405" t="s">
        <v>4004</v>
      </c>
      <c r="D56" s="1405" t="str">
        <f>VLOOKUP(G56,'Baumaterialien Matériaux'!$A$10:$AD$434,30,FALSE)</f>
        <v>Béton maigre (sans armature)</v>
      </c>
      <c r="F56" s="1405" t="str">
        <f>VLOOKUP(G56,'Baumaterialien Matériaux'!$A$10:$AD$434,7,FALSE)</f>
        <v>kg</v>
      </c>
      <c r="G56" s="1405" t="s">
        <v>568</v>
      </c>
      <c r="H56" s="1405">
        <f>2150*0.12</f>
        <v>258</v>
      </c>
      <c r="J56" s="1568">
        <v>60</v>
      </c>
      <c r="K56" s="1586">
        <f>$H56*_xlfn.XLOOKUP($G56,'Baumaterialien Matériaux'!$A:$A,'Baumaterialien Matériaux'!V:V,0,0)</f>
        <v>19.788600000000002</v>
      </c>
      <c r="L56" s="1586">
        <f>$H56*_xlfn.XLOOKUP($G56,'Baumaterialien Matériaux'!$A:$A,'Baumaterialien Matériaux'!Y:Y,0,0)</f>
        <v>13.312799999999999</v>
      </c>
      <c r="M56" s="1586">
        <f>$H56*_xlfn.XLOOKUP($G56,'Baumaterialien Matériaux'!$A:$A,'Baumaterialien Matériaux'!AA:AA,0,0)</f>
        <v>12.951600000000001</v>
      </c>
      <c r="N56" s="1586">
        <f>$H56*_xlfn.XLOOKUP($G56,'Baumaterialien Matériaux'!$A:$A,'Baumaterialien Matériaux'!AB:AB,0,0)</f>
        <v>3.2507999999999999</v>
      </c>
      <c r="O56" s="1586">
        <f>$H56*_xlfn.XLOOKUP($G56,'Baumaterialien Matériaux'!$A:$A,'Baumaterialien Matériaux'!AC:AC,0,0)*44/12</f>
        <v>0</v>
      </c>
      <c r="P56" s="1586">
        <f>$H56*_xlfn.XLOOKUP($G56,'Baumaterialien Matériaux'!$A:$A,'Baumaterialien Matériaux'!AG:AG,0,0)</f>
        <v>0</v>
      </c>
      <c r="Q56" s="1586">
        <f>$H56*_xlfn.XLOOKUP($G56,'Baumaterialien Matériaux'!$A:$A,'Baumaterialien Matériaux'!AH:AH,0,0)</f>
        <v>0</v>
      </c>
      <c r="T56" s="1519"/>
      <c r="U56" s="1571"/>
    </row>
    <row r="57" spans="1:21" s="1405" customFormat="1">
      <c r="A57" s="258"/>
      <c r="B57" s="1571" t="s">
        <v>3979</v>
      </c>
      <c r="C57" s="1405" t="s">
        <v>4005</v>
      </c>
      <c r="D57" s="1405" t="str">
        <f>VLOOKUP(G57,'Baumaterialien Matériaux'!$A$10:$AD$434,30,FALSE)</f>
        <v>Gravier concassé 1</v>
      </c>
      <c r="F57" s="1405" t="str">
        <f>VLOOKUP(G57,'Baumaterialien Matériaux'!$A$10:$AD$434,7,FALSE)</f>
        <v>kg</v>
      </c>
      <c r="G57" s="1405" t="s">
        <v>816</v>
      </c>
      <c r="H57" s="1405">
        <f>1500*0.1</f>
        <v>150</v>
      </c>
      <c r="J57" s="1568">
        <v>60</v>
      </c>
      <c r="K57" s="1586">
        <f>$H57*_xlfn.XLOOKUP($G57,'Baumaterialien Matériaux'!$A:$A,'Baumaterialien Matériaux'!V:V,0,0)</f>
        <v>4.8149999999999995</v>
      </c>
      <c r="L57" s="1586">
        <f>$H57*_xlfn.XLOOKUP($G57,'Baumaterialien Matériaux'!$A:$A,'Baumaterialien Matériaux'!Y:Y,0,0)</f>
        <v>7.8900000000000006</v>
      </c>
      <c r="M57" s="1586">
        <f>$H57*_xlfn.XLOOKUP($G57,'Baumaterialien Matériaux'!$A:$A,'Baumaterialien Matériaux'!AA:AA,0,0)</f>
        <v>0.75149999999999995</v>
      </c>
      <c r="N57" s="1586">
        <f>$H57*_xlfn.XLOOKUP($G57,'Baumaterialien Matériaux'!$A:$A,'Baumaterialien Matériaux'!AB:AB,0,0)</f>
        <v>1.8900000000000001</v>
      </c>
      <c r="O57" s="1586">
        <f>$H57*_xlfn.XLOOKUP($G57,'Baumaterialien Matériaux'!$A:$A,'Baumaterialien Matériaux'!AC:AC,0,0)*44/12</f>
        <v>0</v>
      </c>
      <c r="P57" s="1586">
        <f>$H57*_xlfn.XLOOKUP($G57,'Baumaterialien Matériaux'!$A:$A,'Baumaterialien Matériaux'!AG:AG,0,0)</f>
        <v>0</v>
      </c>
      <c r="Q57" s="1586">
        <f>$H57*_xlfn.XLOOKUP($G57,'Baumaterialien Matériaux'!$A:$A,'Baumaterialien Matériaux'!AH:AH,0,0)</f>
        <v>0</v>
      </c>
      <c r="T57" s="1519"/>
      <c r="U57" s="1571"/>
    </row>
    <row r="58" spans="1:21" s="1405" customFormat="1">
      <c r="A58" s="258"/>
      <c r="B58" s="1571" t="s">
        <v>3999</v>
      </c>
      <c r="C58" s="1405" t="s">
        <v>4016</v>
      </c>
      <c r="D58" s="1405" t="str">
        <f>VLOOKUP(G58,'Transporte Transports'!$A$10:$AD$432,27,FALSE)</f>
        <v>Excavations mécaniques, en moyenne</v>
      </c>
      <c r="F58" s="1405" t="str">
        <f>VLOOKUP(G58,'Transporte Transports'!$A$10:$AD$432,5,FALSE)</f>
        <v>m3</v>
      </c>
      <c r="G58" s="1405" t="s">
        <v>519</v>
      </c>
      <c r="H58" s="1405">
        <v>0.6</v>
      </c>
      <c r="J58" s="1568">
        <v>60</v>
      </c>
      <c r="K58" s="1586">
        <f>$H58*_xlfn.XLOOKUP($G58,'Transporte Transports'!$A:$A,'Transporte Transports'!R:R,0,0)</f>
        <v>0.98399999999999987</v>
      </c>
      <c r="L58" s="1586"/>
      <c r="M58" s="1569">
        <f>$H58*_xlfn.XLOOKUP($G58,'Transporte Transports'!$A:$A,'Transporte Transports'!V:V,0,0)</f>
        <v>0.25979999999999998</v>
      </c>
      <c r="N58" s="1569"/>
      <c r="O58" s="1586"/>
      <c r="P58" s="1586"/>
      <c r="Q58" s="1586"/>
      <c r="T58" s="1519"/>
      <c r="U58" s="1571"/>
    </row>
    <row r="59" spans="1:21" ht="16.5" thickBot="1">
      <c r="A59" s="856"/>
      <c r="B59" s="856"/>
      <c r="C59" s="856"/>
      <c r="D59" s="856"/>
      <c r="E59" s="856"/>
      <c r="F59" s="856"/>
      <c r="G59" s="856"/>
      <c r="H59" s="856"/>
      <c r="I59" s="856"/>
      <c r="J59" s="856"/>
      <c r="K59" s="856">
        <f>SUM(K53:K58)</f>
        <v>93.026575000000008</v>
      </c>
      <c r="L59" s="856">
        <f t="shared" ref="L59:Q59" si="8">SUM(L53:L58)</f>
        <v>41.82161</v>
      </c>
      <c r="M59" s="856">
        <f t="shared" si="8"/>
        <v>23.920319999999997</v>
      </c>
      <c r="N59" s="856">
        <f t="shared" si="8"/>
        <v>10.108667500000001</v>
      </c>
      <c r="O59" s="856">
        <f t="shared" si="8"/>
        <v>0</v>
      </c>
      <c r="P59" s="856">
        <f t="shared" si="8"/>
        <v>0</v>
      </c>
      <c r="Q59" s="856">
        <f t="shared" si="8"/>
        <v>0</v>
      </c>
      <c r="S59" s="1190">
        <f>(M59+N59)/J58</f>
        <v>0.56714979166666668</v>
      </c>
      <c r="T59" s="805"/>
    </row>
    <row r="60" spans="1:21" ht="16.5" thickTop="1"/>
    <row r="61" spans="1:21" s="978" customFormat="1">
      <c r="A61" s="1572" t="s">
        <v>4010</v>
      </c>
      <c r="B61" s="1405" t="s">
        <v>3980</v>
      </c>
      <c r="C61" s="1405" t="s">
        <v>4012</v>
      </c>
      <c r="D61" s="1405" t="str">
        <f>VLOOKUP(G61,'Baumaterialien Matériaux'!$A$10:$AD$434,30,FALSE)</f>
        <v>Plaque de grès dur</v>
      </c>
      <c r="E61" s="1405"/>
      <c r="F61" s="1405" t="str">
        <f>VLOOKUP(G61,'Baumaterialien Matériaux'!$A$10:$AD$434,7,FALSE)</f>
        <v>kg</v>
      </c>
      <c r="G61" s="1405" t="s">
        <v>678</v>
      </c>
      <c r="H61" s="1405">
        <f>2500*0.12</f>
        <v>300</v>
      </c>
      <c r="I61" s="1405"/>
      <c r="J61" s="1568">
        <v>60</v>
      </c>
      <c r="K61" s="1586">
        <f>$H61*_xlfn.XLOOKUP($G61,'Baumaterialien Matériaux'!$A:$A,'Baumaterialien Matériaux'!V:V,0,0)</f>
        <v>66.900000000000006</v>
      </c>
      <c r="L61" s="1586">
        <f>$H61*_xlfn.XLOOKUP($G61,'Baumaterialien Matériaux'!$A:$A,'Baumaterialien Matériaux'!Y:Y,0,0)</f>
        <v>15.780000000000001</v>
      </c>
      <c r="M61" s="1586">
        <f>$H61*_xlfn.XLOOKUP($G61,'Baumaterialien Matériaux'!$A:$A,'Baumaterialien Matériaux'!AA:AA,0,0)</f>
        <v>8.4</v>
      </c>
      <c r="N61" s="1586">
        <f>$H61*_xlfn.XLOOKUP($G61,'Baumaterialien Matériaux'!$A:$A,'Baumaterialien Matériaux'!AB:AB,0,0)</f>
        <v>3.81</v>
      </c>
      <c r="O61" s="1586">
        <f>$H61*_xlfn.XLOOKUP($G61,'Baumaterialien Matériaux'!$A:$A,'Baumaterialien Matériaux'!AC:AC,0,0)*44/12</f>
        <v>0</v>
      </c>
      <c r="P61" s="1586">
        <f>$H61*_xlfn.XLOOKUP($G61,'Baumaterialien Matériaux'!$A:$A,'Baumaterialien Matériaux'!AG:AG,0,0)</f>
        <v>0</v>
      </c>
      <c r="Q61" s="1586">
        <f>$H61*_xlfn.XLOOKUP($G61,'Baumaterialien Matériaux'!$A:$A,'Baumaterialien Matériaux'!AH:AH,0,0)</f>
        <v>0</v>
      </c>
      <c r="S61" s="133"/>
      <c r="T61" s="1911"/>
    </row>
    <row r="62" spans="1:21" s="1405" customFormat="1">
      <c r="A62" s="258"/>
      <c r="B62" s="1571" t="s">
        <v>3998</v>
      </c>
      <c r="C62" s="1570"/>
      <c r="D62" s="1570" t="str">
        <f>VLOOKUP(G62,'Baumaterialien Matériaux'!$A$10:$AD$434,30,FALSE)</f>
        <v>Sable 1</v>
      </c>
      <c r="E62" s="1570"/>
      <c r="F62" s="1570" t="str">
        <f>VLOOKUP(G62,'Baumaterialien Matériaux'!$A$10:$AD$434,7,FALSE)</f>
        <v>kg</v>
      </c>
      <c r="G62" s="1358" t="s">
        <v>758</v>
      </c>
      <c r="H62" s="1405">
        <f>1500*5/100*0.04</f>
        <v>3</v>
      </c>
      <c r="J62" s="1568">
        <v>60</v>
      </c>
      <c r="K62" s="1586">
        <f>$H62*_xlfn.XLOOKUP($G62,'Baumaterialien Matériaux'!$A:$A,'Baumaterialien Matériaux'!V:V,0,0)</f>
        <v>4.6799999999999994E-2</v>
      </c>
      <c r="L62" s="1586">
        <f>$H62*_xlfn.XLOOKUP($G62,'Baumaterialien Matériaux'!$A:$A,'Baumaterialien Matériaux'!Y:Y,0,0)</f>
        <v>0.1578</v>
      </c>
      <c r="M62" s="1587">
        <f>$H62*_xlfn.XLOOKUP($G62,'Baumaterialien Matériaux'!$A:$A,'Baumaterialien Matériaux'!AA:AA,0,0)</f>
        <v>9.1500000000000001E-3</v>
      </c>
      <c r="N62" s="1587">
        <f>$H62*_xlfn.XLOOKUP($G62,'Baumaterialien Matériaux'!$A:$A,'Baumaterialien Matériaux'!AB:AB,0,0)</f>
        <v>3.78E-2</v>
      </c>
      <c r="O62" s="1586">
        <f>$H62*_xlfn.XLOOKUP($G62,'Baumaterialien Matériaux'!$A:$A,'Baumaterialien Matériaux'!AC:AC,0,0)*44/12</f>
        <v>0</v>
      </c>
      <c r="P62" s="1586">
        <f>$H62*_xlfn.XLOOKUP($G62,'Baumaterialien Matériaux'!$A:$A,'Baumaterialien Matériaux'!AG:AG,0,0)</f>
        <v>0</v>
      </c>
      <c r="Q62" s="1586">
        <f>$H62*_xlfn.XLOOKUP($G62,'Baumaterialien Matériaux'!$A:$A,'Baumaterialien Matériaux'!AH:AH,0,0)</f>
        <v>0</v>
      </c>
      <c r="T62" s="1911"/>
      <c r="U62" s="1571"/>
    </row>
    <row r="63" spans="1:21">
      <c r="A63" s="258"/>
      <c r="B63" s="1571" t="s">
        <v>3978</v>
      </c>
      <c r="C63" s="1405" t="s">
        <v>4020</v>
      </c>
      <c r="D63" s="1405" t="str">
        <f>VLOOKUP(G63,'Baumaterialien Matériaux'!$A$10:$AD$434,30,FALSE)</f>
        <v>Gravier concassé 1</v>
      </c>
      <c r="E63" s="1405"/>
      <c r="F63" s="1405" t="str">
        <f>VLOOKUP(G63,'Baumaterialien Matériaux'!$A$10:$AD$434,7,FALSE)</f>
        <v>kg</v>
      </c>
      <c r="G63" s="1405" t="s">
        <v>816</v>
      </c>
      <c r="H63" s="1405">
        <f>1550*5/100*0.12</f>
        <v>9.2999999999999989</v>
      </c>
      <c r="I63" s="1405"/>
      <c r="J63" s="1568">
        <v>60</v>
      </c>
      <c r="K63" s="1586">
        <f>$H63*_xlfn.XLOOKUP($G63,'Baumaterialien Matériaux'!$A:$A,'Baumaterialien Matériaux'!V:V,0,0)</f>
        <v>0.29852999999999991</v>
      </c>
      <c r="L63" s="1586">
        <f>$H63*_xlfn.XLOOKUP($G63,'Baumaterialien Matériaux'!$A:$A,'Baumaterialien Matériaux'!Y:Y,0,0)</f>
        <v>0.48917999999999995</v>
      </c>
      <c r="M63" s="1586">
        <f>$H63*_xlfn.XLOOKUP($G63,'Baumaterialien Matériaux'!$A:$A,'Baumaterialien Matériaux'!AA:AA,0,0)</f>
        <v>4.6592999999999989E-2</v>
      </c>
      <c r="N63" s="1586">
        <f>$H63*_xlfn.XLOOKUP($G63,'Baumaterialien Matériaux'!$A:$A,'Baumaterialien Matériaux'!AB:AB,0,0)</f>
        <v>0.11717999999999999</v>
      </c>
      <c r="O63" s="1586">
        <f>$H63*_xlfn.XLOOKUP($G63,'Baumaterialien Matériaux'!$A:$A,'Baumaterialien Matériaux'!AC:AC,0,0)*44/12</f>
        <v>0</v>
      </c>
      <c r="P63" s="1586">
        <f>$H63*_xlfn.XLOOKUP($G63,'Baumaterialien Matériaux'!$A:$A,'Baumaterialien Matériaux'!AG:AG,0,0)</f>
        <v>0</v>
      </c>
      <c r="Q63" s="1586">
        <f>$H63*_xlfn.XLOOKUP($G63,'Baumaterialien Matériaux'!$A:$A,'Baumaterialien Matériaux'!AH:AH,0,0)</f>
        <v>0</v>
      </c>
      <c r="S63" s="133"/>
      <c r="T63" s="1911"/>
    </row>
    <row r="64" spans="1:21">
      <c r="A64" s="258"/>
      <c r="B64" s="1571" t="s">
        <v>3979</v>
      </c>
      <c r="C64" s="1405" t="s">
        <v>4002</v>
      </c>
      <c r="D64" s="1405" t="str">
        <f>VLOOKUP(G64,'Baumaterialien Matériaux'!$A$10:$AD$434,30,FALSE)</f>
        <v>Gravier concassé 1</v>
      </c>
      <c r="E64" s="1405"/>
      <c r="F64" s="1405" t="str">
        <f>VLOOKUP(G64,'Baumaterialien Matériaux'!$A$10:$AD$434,7,FALSE)</f>
        <v>kg</v>
      </c>
      <c r="G64" s="1405" t="s">
        <v>816</v>
      </c>
      <c r="H64" s="1405">
        <f>1500*0.3</f>
        <v>450</v>
      </c>
      <c r="I64" s="1405"/>
      <c r="J64" s="1568">
        <v>60</v>
      </c>
      <c r="K64" s="1586">
        <f>$H64*_xlfn.XLOOKUP($G64,'Baumaterialien Matériaux'!$A:$A,'Baumaterialien Matériaux'!V:V,0,0)</f>
        <v>14.444999999999999</v>
      </c>
      <c r="L64" s="1586">
        <f>$H64*_xlfn.XLOOKUP($G64,'Baumaterialien Matériaux'!$A:$A,'Baumaterialien Matériaux'!Y:Y,0,0)</f>
        <v>23.67</v>
      </c>
      <c r="M64" s="1586">
        <f>$H64*_xlfn.XLOOKUP($G64,'Baumaterialien Matériaux'!$A:$A,'Baumaterialien Matériaux'!AA:AA,0,0)</f>
        <v>2.2544999999999997</v>
      </c>
      <c r="N64" s="1586">
        <f>$H64*_xlfn.XLOOKUP($G64,'Baumaterialien Matériaux'!$A:$A,'Baumaterialien Matériaux'!AB:AB,0,0)</f>
        <v>5.67</v>
      </c>
      <c r="O64" s="1586">
        <f>$H64*_xlfn.XLOOKUP($G64,'Baumaterialien Matériaux'!$A:$A,'Baumaterialien Matériaux'!AC:AC,0,0)*44/12</f>
        <v>0</v>
      </c>
      <c r="P64" s="1586">
        <f>$H64*_xlfn.XLOOKUP($G64,'Baumaterialien Matériaux'!$A:$A,'Baumaterialien Matériaux'!AG:AG,0,0)</f>
        <v>0</v>
      </c>
      <c r="Q64" s="1586">
        <f>$H64*_xlfn.XLOOKUP($G64,'Baumaterialien Matériaux'!$A:$A,'Baumaterialien Matériaux'!AH:AH,0,0)</f>
        <v>0</v>
      </c>
      <c r="S64" s="133"/>
      <c r="T64" s="1911"/>
    </row>
    <row r="65" spans="1:21">
      <c r="A65" s="258"/>
      <c r="B65" s="1571" t="s">
        <v>3999</v>
      </c>
      <c r="C65" s="1405" t="s">
        <v>4016</v>
      </c>
      <c r="D65" s="1405" t="str">
        <f>VLOOKUP(G65,'Transporte Transports'!$A$10:$AD$432,27,FALSE)</f>
        <v>Excavations mécaniques, en moyenne</v>
      </c>
      <c r="E65" s="1405"/>
      <c r="F65" s="1405" t="str">
        <f>VLOOKUP(G65,'Transporte Transports'!$A$10:$AD$432,5,FALSE)</f>
        <v>m3</v>
      </c>
      <c r="G65" s="1405" t="s">
        <v>519</v>
      </c>
      <c r="H65" s="1405">
        <v>0.6</v>
      </c>
      <c r="I65" s="1405"/>
      <c r="J65" s="1568">
        <v>60</v>
      </c>
      <c r="K65" s="1586">
        <f>$H65*_xlfn.XLOOKUP($G65,'Transporte Transports'!$A:$A,'Transporte Transports'!R:R,0,0)</f>
        <v>0.98399999999999987</v>
      </c>
      <c r="L65" s="1586"/>
      <c r="M65" s="1569">
        <f>$H65*_xlfn.XLOOKUP($G65,'Transporte Transports'!$A:$A,'Transporte Transports'!V:V,0,0)</f>
        <v>0.25979999999999998</v>
      </c>
      <c r="N65" s="1569"/>
      <c r="O65" s="1586"/>
      <c r="P65" s="1586"/>
      <c r="Q65" s="1586"/>
      <c r="S65" s="133"/>
      <c r="T65" s="1912"/>
    </row>
    <row r="66" spans="1:21" ht="16.5" thickBot="1">
      <c r="A66" s="856"/>
      <c r="B66" s="856"/>
      <c r="C66" s="856"/>
      <c r="D66" s="856"/>
      <c r="E66" s="856"/>
      <c r="F66" s="856"/>
      <c r="G66" s="856"/>
      <c r="H66" s="856"/>
      <c r="I66" s="856"/>
      <c r="J66" s="856"/>
      <c r="K66" s="856">
        <f>SUM(K61:K65)</f>
        <v>82.674329999999998</v>
      </c>
      <c r="L66" s="856">
        <f t="shared" ref="L66:Q66" si="9">SUM(L61:L65)</f>
        <v>40.096980000000002</v>
      </c>
      <c r="M66" s="856">
        <f t="shared" si="9"/>
        <v>10.970043</v>
      </c>
      <c r="N66" s="856">
        <f t="shared" si="9"/>
        <v>9.6349799999999988</v>
      </c>
      <c r="O66" s="856">
        <f t="shared" si="9"/>
        <v>0</v>
      </c>
      <c r="P66" s="856">
        <f t="shared" si="9"/>
        <v>0</v>
      </c>
      <c r="Q66" s="856">
        <f t="shared" si="9"/>
        <v>0</v>
      </c>
      <c r="S66" s="1190">
        <f>(M66+N66)/J65</f>
        <v>0.34341705</v>
      </c>
      <c r="T66" s="805"/>
    </row>
    <row r="67" spans="1:21" ht="16.5" thickTop="1"/>
    <row r="68" spans="1:21" s="1405" customFormat="1">
      <c r="A68" s="1572" t="s">
        <v>4011</v>
      </c>
      <c r="B68" s="1405" t="s">
        <v>3980</v>
      </c>
      <c r="C68" s="1405" t="s">
        <v>4012</v>
      </c>
      <c r="D68" s="1405" t="str">
        <f>VLOOKUP(G68,'Baumaterialien Matériaux'!$A$10:$AD$434,30,FALSE)</f>
        <v>Plaque de grès dur</v>
      </c>
      <c r="F68" s="1405" t="str">
        <f>VLOOKUP(G68,'Baumaterialien Matériaux'!$A$10:$AD$434,7,FALSE)</f>
        <v>kg</v>
      </c>
      <c r="G68" s="1405" t="s">
        <v>678</v>
      </c>
      <c r="H68" s="1405">
        <f>2500*0.12</f>
        <v>300</v>
      </c>
      <c r="J68" s="1568">
        <v>60</v>
      </c>
      <c r="K68" s="1586">
        <f>$H68*_xlfn.XLOOKUP($G68,'Baumaterialien Matériaux'!$A:$A,'Baumaterialien Matériaux'!V:V,0,0)</f>
        <v>66.900000000000006</v>
      </c>
      <c r="L68" s="1586">
        <f>$H68*_xlfn.XLOOKUP($G68,'Baumaterialien Matériaux'!$A:$A,'Baumaterialien Matériaux'!Y:Y,0,0)</f>
        <v>15.780000000000001</v>
      </c>
      <c r="M68" s="1586">
        <f>$H68*_xlfn.XLOOKUP($G68,'Baumaterialien Matériaux'!$A:$A,'Baumaterialien Matériaux'!AA:AA,0,0)</f>
        <v>8.4</v>
      </c>
      <c r="N68" s="1586">
        <f>$H68*_xlfn.XLOOKUP($G68,'Baumaterialien Matériaux'!$A:$A,'Baumaterialien Matériaux'!AB:AB,0,0)</f>
        <v>3.81</v>
      </c>
      <c r="O68" s="1586">
        <f>$H68*_xlfn.XLOOKUP($G68,'Baumaterialien Matériaux'!$A:$A,'Baumaterialien Matériaux'!AC:AC,0,0)*44/12</f>
        <v>0</v>
      </c>
      <c r="P68" s="1586">
        <f>$H68*_xlfn.XLOOKUP($G68,'Baumaterialien Matériaux'!$A:$A,'Baumaterialien Matériaux'!AG:AG,0,0)</f>
        <v>0</v>
      </c>
      <c r="Q68" s="1586">
        <f>$H68*_xlfn.XLOOKUP($G68,'Baumaterialien Matériaux'!$A:$A,'Baumaterialien Matériaux'!AH:AH,0,0)</f>
        <v>0</v>
      </c>
      <c r="T68" s="1519"/>
      <c r="U68" s="1571"/>
    </row>
    <row r="69" spans="1:21" s="1405" customFormat="1">
      <c r="A69" s="258"/>
      <c r="B69" s="1571" t="s">
        <v>3998</v>
      </c>
      <c r="C69" s="1570" t="s">
        <v>4023</v>
      </c>
      <c r="D69" s="1570" t="str">
        <f>VLOOKUP(G69,'Baumaterialien Matériaux'!$A$10:$AD$434,30,FALSE)</f>
        <v>Enduit de ciment</v>
      </c>
      <c r="E69" s="1570"/>
      <c r="F69" s="1570" t="str">
        <f>VLOOKUP(G69,'Baumaterialien Matériaux'!$A$10:$AD$434,7,FALSE)</f>
        <v>kg</v>
      </c>
      <c r="G69" s="1570" t="s">
        <v>625</v>
      </c>
      <c r="H69" s="1405">
        <f>1550*5/100*0.12</f>
        <v>9.2999999999999989</v>
      </c>
      <c r="J69" s="1568">
        <v>60</v>
      </c>
      <c r="K69" s="1586">
        <f>$H69*_xlfn.XLOOKUP($G69,'Baumaterialien Matériaux'!$A:$A,'Baumaterialien Matériaux'!V:V,0,0)</f>
        <v>5.5985999999999994</v>
      </c>
      <c r="L69" s="1586">
        <f>$H69*_xlfn.XLOOKUP($G69,'Baumaterialien Matériaux'!$A:$A,'Baumaterialien Matériaux'!Y:Y,0,0)</f>
        <v>0.48731999999999998</v>
      </c>
      <c r="M69" s="1586">
        <f>$H69*_xlfn.XLOOKUP($G69,'Baumaterialien Matériaux'!$A:$A,'Baumaterialien Matériaux'!AA:AA,0,0)</f>
        <v>2.3063999999999996</v>
      </c>
      <c r="N69" s="1586">
        <f>$H69*_xlfn.XLOOKUP($G69,'Baumaterialien Matériaux'!$A:$A,'Baumaterialien Matériaux'!AB:AB,0,0)</f>
        <v>0.11810999999999998</v>
      </c>
      <c r="O69" s="1586">
        <f>$H69*_xlfn.XLOOKUP($G69,'Baumaterialien Matériaux'!$A:$A,'Baumaterialien Matériaux'!AC:AC,0,0)*44/12</f>
        <v>0</v>
      </c>
      <c r="P69" s="1586">
        <f>$H69*_xlfn.XLOOKUP($G69,'Baumaterialien Matériaux'!$A:$A,'Baumaterialien Matériaux'!AG:AG,0,0)</f>
        <v>0</v>
      </c>
      <c r="Q69" s="1586">
        <f>$H69*_xlfn.XLOOKUP($G69,'Baumaterialien Matériaux'!$A:$A,'Baumaterialien Matériaux'!AH:AH,0,0)</f>
        <v>0</v>
      </c>
      <c r="T69" s="1519"/>
      <c r="U69" s="1571"/>
    </row>
    <row r="70" spans="1:21" s="1405" customFormat="1">
      <c r="A70" s="258"/>
      <c r="B70" s="1571" t="s">
        <v>4000</v>
      </c>
      <c r="C70" s="1405" t="s">
        <v>4027</v>
      </c>
      <c r="D70" s="1405" t="str">
        <f>VLOOKUP(G70,'Baumaterialien Matériaux'!$A$10:$AD$434,30,FALSE)</f>
        <v>Granulés de béton 1</v>
      </c>
      <c r="F70" s="1405" t="str">
        <f>VLOOKUP(G70,'Baumaterialien Matériaux'!$A$10:$AD$434,7,FALSE)</f>
        <v>kg</v>
      </c>
      <c r="G70" s="1405" t="s">
        <v>1272</v>
      </c>
      <c r="H70" s="1405">
        <f>1550*0.06</f>
        <v>93</v>
      </c>
      <c r="J70" s="1568">
        <v>60</v>
      </c>
      <c r="K70" s="1586">
        <f>$H70*_xlfn.XLOOKUP($G70,'Baumaterialien Matériaux'!$A:$A,'Baumaterialien Matériaux'!V:V,0,0)</f>
        <v>0.84165000000000012</v>
      </c>
      <c r="L70" s="1586">
        <f>$H70*_xlfn.XLOOKUP($G70,'Baumaterialien Matériaux'!$A:$A,'Baumaterialien Matériaux'!Y:Y,0,0)</f>
        <v>4.8917999999999999</v>
      </c>
      <c r="M70" s="1586">
        <f>$H70*_xlfn.XLOOKUP($G70,'Baumaterialien Matériaux'!$A:$A,'Baumaterialien Matériaux'!AA:AA,0,0)</f>
        <v>0.12275999999999999</v>
      </c>
      <c r="N70" s="1586">
        <f>$H70*_xlfn.XLOOKUP($G70,'Baumaterialien Matériaux'!$A:$A,'Baumaterialien Matériaux'!AB:AB,0,0)</f>
        <v>1.1718</v>
      </c>
      <c r="O70" s="1586">
        <f>$H70*_xlfn.XLOOKUP($G70,'Baumaterialien Matériaux'!$A:$A,'Baumaterialien Matériaux'!AC:AC,0,0)*44/12</f>
        <v>0</v>
      </c>
      <c r="P70" s="1586">
        <f>$H70*_xlfn.XLOOKUP($G70,'Baumaterialien Matériaux'!$A:$A,'Baumaterialien Matériaux'!AG:AG,0,0)</f>
        <v>0</v>
      </c>
      <c r="Q70" s="1586">
        <f>$H70*_xlfn.XLOOKUP($G70,'Baumaterialien Matériaux'!$A:$A,'Baumaterialien Matériaux'!AH:AH,0,0)</f>
        <v>0</v>
      </c>
      <c r="T70" s="1519"/>
      <c r="U70" s="1571"/>
    </row>
    <row r="71" spans="1:21" s="1405" customFormat="1">
      <c r="A71" s="258"/>
      <c r="B71" s="1571" t="s">
        <v>3981</v>
      </c>
      <c r="C71" s="1405" t="s">
        <v>4004</v>
      </c>
      <c r="D71" s="1405" t="str">
        <f>VLOOKUP(G71,'Baumaterialien Matériaux'!$A$10:$AD$434,30,FALSE)</f>
        <v>Béton maigre (sans armature)</v>
      </c>
      <c r="F71" s="1405" t="str">
        <f>VLOOKUP(G71,'Baumaterialien Matériaux'!$A$10:$AD$434,7,FALSE)</f>
        <v>kg</v>
      </c>
      <c r="G71" s="1405" t="s">
        <v>568</v>
      </c>
      <c r="H71" s="1405">
        <f>2150*0.12</f>
        <v>258</v>
      </c>
      <c r="J71" s="1568">
        <v>60</v>
      </c>
      <c r="K71" s="1586">
        <f>$H71*_xlfn.XLOOKUP($G71,'Baumaterialien Matériaux'!$A:$A,'Baumaterialien Matériaux'!V:V,0,0)</f>
        <v>19.788600000000002</v>
      </c>
      <c r="L71" s="1586">
        <f>$H71*_xlfn.XLOOKUP($G71,'Baumaterialien Matériaux'!$A:$A,'Baumaterialien Matériaux'!Y:Y,0,0)</f>
        <v>13.312799999999999</v>
      </c>
      <c r="M71" s="1586">
        <f>$H71*_xlfn.XLOOKUP($G71,'Baumaterialien Matériaux'!$A:$A,'Baumaterialien Matériaux'!AA:AA,0,0)</f>
        <v>12.951600000000001</v>
      </c>
      <c r="N71" s="1586">
        <f>$H71*_xlfn.XLOOKUP($G71,'Baumaterialien Matériaux'!$A:$A,'Baumaterialien Matériaux'!AB:AB,0,0)</f>
        <v>3.2507999999999999</v>
      </c>
      <c r="O71" s="1586">
        <f>$H71*_xlfn.XLOOKUP($G71,'Baumaterialien Matériaux'!$A:$A,'Baumaterialien Matériaux'!AC:AC,0,0)*44/12</f>
        <v>0</v>
      </c>
      <c r="P71" s="1586">
        <f>$H71*_xlfn.XLOOKUP($G71,'Baumaterialien Matériaux'!$A:$A,'Baumaterialien Matériaux'!AG:AG,0,0)</f>
        <v>0</v>
      </c>
      <c r="Q71" s="1586">
        <f>$H71*_xlfn.XLOOKUP($G71,'Baumaterialien Matériaux'!$A:$A,'Baumaterialien Matériaux'!AH:AH,0,0)</f>
        <v>0</v>
      </c>
      <c r="T71" s="1519"/>
      <c r="U71" s="1571"/>
    </row>
    <row r="72" spans="1:21" s="1405" customFormat="1">
      <c r="A72" s="258"/>
      <c r="B72" s="1571" t="s">
        <v>3979</v>
      </c>
      <c r="C72" s="1405" t="s">
        <v>4005</v>
      </c>
      <c r="D72" s="1405" t="str">
        <f>VLOOKUP(G72,'Baumaterialien Matériaux'!$A$10:$AD$434,30,FALSE)</f>
        <v>Gravier concassé 1</v>
      </c>
      <c r="F72" s="1405" t="str">
        <f>VLOOKUP(G72,'Baumaterialien Matériaux'!$A$10:$AD$434,7,FALSE)</f>
        <v>kg</v>
      </c>
      <c r="G72" s="1405" t="s">
        <v>816</v>
      </c>
      <c r="H72" s="1405">
        <f>1500*0.1</f>
        <v>150</v>
      </c>
      <c r="J72" s="1568">
        <v>60</v>
      </c>
      <c r="K72" s="1586">
        <f>$H72*_xlfn.XLOOKUP($G72,'Baumaterialien Matériaux'!$A:$A,'Baumaterialien Matériaux'!V:V,0,0)</f>
        <v>4.8149999999999995</v>
      </c>
      <c r="L72" s="1586">
        <f>$H72*_xlfn.XLOOKUP($G72,'Baumaterialien Matériaux'!$A:$A,'Baumaterialien Matériaux'!Y:Y,0,0)</f>
        <v>7.8900000000000006</v>
      </c>
      <c r="M72" s="1586">
        <f>$H72*_xlfn.XLOOKUP($G72,'Baumaterialien Matériaux'!$A:$A,'Baumaterialien Matériaux'!AA:AA,0,0)</f>
        <v>0.75149999999999995</v>
      </c>
      <c r="N72" s="1586">
        <f>$H72*_xlfn.XLOOKUP($G72,'Baumaterialien Matériaux'!$A:$A,'Baumaterialien Matériaux'!AB:AB,0,0)</f>
        <v>1.8900000000000001</v>
      </c>
      <c r="O72" s="1586">
        <f>$H72*_xlfn.XLOOKUP($G72,'Baumaterialien Matériaux'!$A:$A,'Baumaterialien Matériaux'!AC:AC,0,0)*44/12</f>
        <v>0</v>
      </c>
      <c r="P72" s="1586">
        <f>$H72*_xlfn.XLOOKUP($G72,'Baumaterialien Matériaux'!$A:$A,'Baumaterialien Matériaux'!AG:AG,0,0)</f>
        <v>0</v>
      </c>
      <c r="Q72" s="1586">
        <f>$H72*_xlfn.XLOOKUP($G72,'Baumaterialien Matériaux'!$A:$A,'Baumaterialien Matériaux'!AH:AH,0,0)</f>
        <v>0</v>
      </c>
      <c r="T72" s="1519"/>
      <c r="U72" s="1571"/>
    </row>
    <row r="73" spans="1:21" s="1405" customFormat="1">
      <c r="A73" s="258"/>
      <c r="B73" s="1571" t="s">
        <v>3999</v>
      </c>
      <c r="C73" s="1405" t="s">
        <v>4016</v>
      </c>
      <c r="D73" s="1405" t="str">
        <f>VLOOKUP(G73,'Transporte Transports'!$A$10:$AD$432,27,FALSE)</f>
        <v>Excavations mécaniques, en moyenne</v>
      </c>
      <c r="F73" s="1405" t="str">
        <f>VLOOKUP(G73,'Transporte Transports'!$A$10:$AD$432,5,FALSE)</f>
        <v>m3</v>
      </c>
      <c r="G73" s="1405" t="s">
        <v>519</v>
      </c>
      <c r="H73" s="1405">
        <v>0.6</v>
      </c>
      <c r="J73" s="1568">
        <v>60</v>
      </c>
      <c r="K73" s="1586">
        <f>$H73*_xlfn.XLOOKUP($G73,'Transporte Transports'!$A:$A,'Transporte Transports'!R:R,0,0)</f>
        <v>0.98399999999999987</v>
      </c>
      <c r="L73" s="1586"/>
      <c r="M73" s="1569">
        <f>$H73*_xlfn.XLOOKUP($G73,'Transporte Transports'!$A:$A,'Transporte Transports'!V:V,0,0)</f>
        <v>0.25979999999999998</v>
      </c>
      <c r="N73" s="1569"/>
      <c r="O73" s="1586"/>
      <c r="P73" s="1586"/>
      <c r="Q73" s="1586"/>
      <c r="T73" s="1519"/>
      <c r="U73" s="1571"/>
    </row>
    <row r="74" spans="1:21" ht="16.5" thickBot="1">
      <c r="A74" s="856"/>
      <c r="B74" s="856"/>
      <c r="C74" s="856"/>
      <c r="D74" s="856"/>
      <c r="E74" s="856"/>
      <c r="F74" s="856"/>
      <c r="G74" s="856"/>
      <c r="H74" s="856"/>
      <c r="I74" s="856"/>
      <c r="J74" s="856"/>
      <c r="K74" s="856">
        <f>SUM(K68:K73)</f>
        <v>98.927850000000007</v>
      </c>
      <c r="L74" s="856">
        <f t="shared" ref="L74:Q74" si="10">SUM(L68:L73)</f>
        <v>42.361919999999998</v>
      </c>
      <c r="M74" s="856">
        <f t="shared" si="10"/>
        <v>24.792059999999999</v>
      </c>
      <c r="N74" s="856">
        <f t="shared" si="10"/>
        <v>10.24071</v>
      </c>
      <c r="O74" s="856">
        <f t="shared" si="10"/>
        <v>0</v>
      </c>
      <c r="P74" s="856">
        <f t="shared" si="10"/>
        <v>0</v>
      </c>
      <c r="Q74" s="856">
        <f t="shared" si="10"/>
        <v>0</v>
      </c>
      <c r="S74" s="1190">
        <f>(M74+N74)/J73</f>
        <v>0.5838795</v>
      </c>
      <c r="T74" s="805"/>
    </row>
    <row r="75" spans="1:21" ht="16.5" thickTop="1"/>
    <row r="76" spans="1:21" s="978" customFormat="1">
      <c r="A76" s="1572" t="s">
        <v>4015</v>
      </c>
      <c r="B76" s="1405" t="s">
        <v>3772</v>
      </c>
      <c r="C76" s="1405" t="s">
        <v>4014</v>
      </c>
      <c r="D76" s="1405" t="str">
        <f>VLOOKUP(G76,'Baumaterialien Matériaux'!$A$10:$AD$434,30,FALSE)</f>
        <v>Tuiles en béton</v>
      </c>
      <c r="E76" s="1405"/>
      <c r="F76" s="1405" t="str">
        <f>VLOOKUP(G76,'Baumaterialien Matériaux'!$A$10:$AD$434,7,FALSE)</f>
        <v>kg</v>
      </c>
      <c r="G76" s="1405" t="s">
        <v>1277</v>
      </c>
      <c r="H76" s="1405">
        <f>2300*0.08</f>
        <v>184</v>
      </c>
      <c r="I76" s="1405"/>
      <c r="J76" s="1568">
        <v>60</v>
      </c>
      <c r="K76" s="1586">
        <f>$H76*_xlfn.XLOOKUP($G76,'Baumaterialien Matériaux'!$A:$A,'Baumaterialien Matériaux'!V:V,0,0)</f>
        <v>76.543999999999997</v>
      </c>
      <c r="L76" s="1586">
        <f>$H76*_xlfn.XLOOKUP($G76,'Baumaterialien Matériaux'!$A:$A,'Baumaterialien Matériaux'!Y:Y,0,0)</f>
        <v>9.6783999999999999</v>
      </c>
      <c r="M76" s="1586">
        <f>$H76*_xlfn.XLOOKUP($G76,'Baumaterialien Matériaux'!$A:$A,'Baumaterialien Matériaux'!AA:AA,0,0)</f>
        <v>36.064</v>
      </c>
      <c r="N76" s="1586">
        <f>$H76*_xlfn.XLOOKUP($G76,'Baumaterialien Matériaux'!$A:$A,'Baumaterialien Matériaux'!AB:AB,0,0)</f>
        <v>2.3367999999999998</v>
      </c>
      <c r="O76" s="1586">
        <f>$H76*_xlfn.XLOOKUP($G76,'Baumaterialien Matériaux'!$A:$A,'Baumaterialien Matériaux'!AC:AC,0,0)*44/12</f>
        <v>0</v>
      </c>
      <c r="P76" s="1586">
        <f>$H76*_xlfn.XLOOKUP($G76,'Baumaterialien Matériaux'!$A:$A,'Baumaterialien Matériaux'!AG:AG,0,0)</f>
        <v>0</v>
      </c>
      <c r="Q76" s="1586">
        <f>$H76*_xlfn.XLOOKUP($G76,'Baumaterialien Matériaux'!$A:$A,'Baumaterialien Matériaux'!AH:AH,0,0)</f>
        <v>0</v>
      </c>
      <c r="S76" s="133"/>
      <c r="T76" s="1911"/>
    </row>
    <row r="77" spans="1:21" s="1405" customFormat="1">
      <c r="A77" s="258"/>
      <c r="B77" s="1571" t="s">
        <v>3998</v>
      </c>
      <c r="C77" s="1570"/>
      <c r="D77" s="1570" t="str">
        <f>VLOOKUP(G77,'Baumaterialien Matériaux'!$A$10:$AD$434,30,FALSE)</f>
        <v>Sable 1</v>
      </c>
      <c r="E77" s="1570"/>
      <c r="F77" s="1570" t="str">
        <f>VLOOKUP(G77,'Baumaterialien Matériaux'!$A$10:$AD$434,7,FALSE)</f>
        <v>kg</v>
      </c>
      <c r="G77" s="1358" t="s">
        <v>758</v>
      </c>
      <c r="H77" s="1405">
        <f>1500*5/100*0.04</f>
        <v>3</v>
      </c>
      <c r="J77" s="1568">
        <v>60</v>
      </c>
      <c r="K77" s="1586">
        <f>$H77*_xlfn.XLOOKUP($G77,'Baumaterialien Matériaux'!$A:$A,'Baumaterialien Matériaux'!V:V,0,0)</f>
        <v>4.6799999999999994E-2</v>
      </c>
      <c r="L77" s="1586">
        <f>$H77*_xlfn.XLOOKUP($G77,'Baumaterialien Matériaux'!$A:$A,'Baumaterialien Matériaux'!Y:Y,0,0)</f>
        <v>0.1578</v>
      </c>
      <c r="M77" s="1587">
        <f>$H77*_xlfn.XLOOKUP($G77,'Baumaterialien Matériaux'!$A:$A,'Baumaterialien Matériaux'!AA:AA,0,0)</f>
        <v>9.1500000000000001E-3</v>
      </c>
      <c r="N77" s="1587">
        <f>$H77*_xlfn.XLOOKUP($G77,'Baumaterialien Matériaux'!$A:$A,'Baumaterialien Matériaux'!AB:AB,0,0)</f>
        <v>3.78E-2</v>
      </c>
      <c r="O77" s="1586">
        <f>$H77*_xlfn.XLOOKUP($G77,'Baumaterialien Matériaux'!$A:$A,'Baumaterialien Matériaux'!AC:AC,0,0)*44/12</f>
        <v>0</v>
      </c>
      <c r="P77" s="1586">
        <f>$H77*_xlfn.XLOOKUP($G77,'Baumaterialien Matériaux'!$A:$A,'Baumaterialien Matériaux'!AG:AG,0,0)</f>
        <v>0</v>
      </c>
      <c r="Q77" s="1586">
        <f>$H77*_xlfn.XLOOKUP($G77,'Baumaterialien Matériaux'!$A:$A,'Baumaterialien Matériaux'!AH:AH,0,0)</f>
        <v>0</v>
      </c>
      <c r="T77" s="1911"/>
      <c r="U77" s="1571"/>
    </row>
    <row r="78" spans="1:21">
      <c r="A78" s="258"/>
      <c r="B78" s="1571" t="s">
        <v>3978</v>
      </c>
      <c r="C78" s="1405" t="s">
        <v>4020</v>
      </c>
      <c r="D78" s="1405" t="str">
        <f>VLOOKUP(G78,'Baumaterialien Matériaux'!$A$10:$AD$434,30,FALSE)</f>
        <v>Gravier concassé 1</v>
      </c>
      <c r="E78" s="1405"/>
      <c r="F78" s="1405" t="str">
        <f>VLOOKUP(G78,'Baumaterialien Matériaux'!$A$10:$AD$434,7,FALSE)</f>
        <v>kg</v>
      </c>
      <c r="G78" s="1405" t="s">
        <v>816</v>
      </c>
      <c r="H78" s="1405">
        <f>1500*0.04</f>
        <v>60</v>
      </c>
      <c r="I78" s="1405"/>
      <c r="J78" s="1568">
        <v>60</v>
      </c>
      <c r="K78" s="1586">
        <f>$H78*_xlfn.XLOOKUP($G78,'Baumaterialien Matériaux'!$A:$A,'Baumaterialien Matériaux'!V:V,0,0)</f>
        <v>1.9259999999999997</v>
      </c>
      <c r="L78" s="1586">
        <f>$H78*_xlfn.XLOOKUP($G78,'Baumaterialien Matériaux'!$A:$A,'Baumaterialien Matériaux'!Y:Y,0,0)</f>
        <v>3.1560000000000001</v>
      </c>
      <c r="M78" s="1586">
        <f>$H78*_xlfn.XLOOKUP($G78,'Baumaterialien Matériaux'!$A:$A,'Baumaterialien Matériaux'!AA:AA,0,0)</f>
        <v>0.30059999999999998</v>
      </c>
      <c r="N78" s="1586">
        <f>$H78*_xlfn.XLOOKUP($G78,'Baumaterialien Matériaux'!$A:$A,'Baumaterialien Matériaux'!AB:AB,0,0)</f>
        <v>0.75600000000000001</v>
      </c>
      <c r="O78" s="1586">
        <f>$H78*_xlfn.XLOOKUP($G78,'Baumaterialien Matériaux'!$A:$A,'Baumaterialien Matériaux'!AC:AC,0,0)*44/12</f>
        <v>0</v>
      </c>
      <c r="P78" s="1586">
        <f>$H78*_xlfn.XLOOKUP($G78,'Baumaterialien Matériaux'!$A:$A,'Baumaterialien Matériaux'!AG:AG,0,0)</f>
        <v>0</v>
      </c>
      <c r="Q78" s="1586">
        <f>$H78*_xlfn.XLOOKUP($G78,'Baumaterialien Matériaux'!$A:$A,'Baumaterialien Matériaux'!AH:AH,0,0)</f>
        <v>0</v>
      </c>
      <c r="S78" s="133"/>
      <c r="T78" s="1911"/>
    </row>
    <row r="79" spans="1:21">
      <c r="A79" s="258"/>
      <c r="B79" s="1571" t="s">
        <v>3979</v>
      </c>
      <c r="C79" s="1405" t="s">
        <v>4002</v>
      </c>
      <c r="D79" s="1405" t="str">
        <f>VLOOKUP(G79,'Baumaterialien Matériaux'!$A$10:$AD$434,30,FALSE)</f>
        <v>Gravier concassé 1</v>
      </c>
      <c r="E79" s="1405"/>
      <c r="F79" s="1405" t="str">
        <f>VLOOKUP(G79,'Baumaterialien Matériaux'!$A$10:$AD$434,7,FALSE)</f>
        <v>kg</v>
      </c>
      <c r="G79" s="1405" t="s">
        <v>816</v>
      </c>
      <c r="H79" s="1405">
        <f>1500*0.3</f>
        <v>450</v>
      </c>
      <c r="I79" s="1405"/>
      <c r="J79" s="1568">
        <v>60</v>
      </c>
      <c r="K79" s="1586">
        <f>$H79*_xlfn.XLOOKUP($G79,'Baumaterialien Matériaux'!$A:$A,'Baumaterialien Matériaux'!V:V,0,0)</f>
        <v>14.444999999999999</v>
      </c>
      <c r="L79" s="1586">
        <f>$H79*_xlfn.XLOOKUP($G79,'Baumaterialien Matériaux'!$A:$A,'Baumaterialien Matériaux'!Y:Y,0,0)</f>
        <v>23.67</v>
      </c>
      <c r="M79" s="1586">
        <f>$H79*_xlfn.XLOOKUP($G79,'Baumaterialien Matériaux'!$A:$A,'Baumaterialien Matériaux'!AA:AA,0,0)</f>
        <v>2.2544999999999997</v>
      </c>
      <c r="N79" s="1586">
        <f>$H79*_xlfn.XLOOKUP($G79,'Baumaterialien Matériaux'!$A:$A,'Baumaterialien Matériaux'!AB:AB,0,0)</f>
        <v>5.67</v>
      </c>
      <c r="O79" s="1586">
        <f>$H79*_xlfn.XLOOKUP($G79,'Baumaterialien Matériaux'!$A:$A,'Baumaterialien Matériaux'!AC:AC,0,0)*44/12</f>
        <v>0</v>
      </c>
      <c r="P79" s="1586">
        <f>$H79*_xlfn.XLOOKUP($G79,'Baumaterialien Matériaux'!$A:$A,'Baumaterialien Matériaux'!AG:AG,0,0)</f>
        <v>0</v>
      </c>
      <c r="Q79" s="1586">
        <f>$H79*_xlfn.XLOOKUP($G79,'Baumaterialien Matériaux'!$A:$A,'Baumaterialien Matériaux'!AH:AH,0,0)</f>
        <v>0</v>
      </c>
      <c r="S79" s="133"/>
      <c r="T79" s="1911"/>
    </row>
    <row r="80" spans="1:21">
      <c r="A80" s="258"/>
      <c r="B80" s="1571" t="s">
        <v>3999</v>
      </c>
      <c r="C80" s="1405" t="s">
        <v>4016</v>
      </c>
      <c r="D80" s="1405" t="str">
        <f>VLOOKUP(G80,'Transporte Transports'!$A$10:$AD$432,27,FALSE)</f>
        <v>Excavations mécaniques, en moyenne</v>
      </c>
      <c r="E80" s="1405"/>
      <c r="F80" s="1405" t="str">
        <f>VLOOKUP(G80,'Transporte Transports'!$A$10:$AD$432,5,FALSE)</f>
        <v>m3</v>
      </c>
      <c r="G80" s="1405" t="s">
        <v>519</v>
      </c>
      <c r="H80" s="1405">
        <v>0.6</v>
      </c>
      <c r="I80" s="1405"/>
      <c r="J80" s="1568">
        <v>60</v>
      </c>
      <c r="K80" s="1586">
        <f>$H80*_xlfn.XLOOKUP($G80,'Transporte Transports'!$A:$A,'Transporte Transports'!R:R,0,0)</f>
        <v>0.98399999999999987</v>
      </c>
      <c r="L80" s="1586"/>
      <c r="M80" s="1569">
        <f>$H80*_xlfn.XLOOKUP($G80,'Transporte Transports'!$A:$A,'Transporte Transports'!V:V,0,0)</f>
        <v>0.25979999999999998</v>
      </c>
      <c r="N80" s="1569"/>
      <c r="O80" s="1586"/>
      <c r="P80" s="1586"/>
      <c r="Q80" s="1586"/>
      <c r="S80" s="133"/>
      <c r="T80" s="1912"/>
    </row>
    <row r="81" spans="1:21" ht="16.5" thickBot="1">
      <c r="A81" s="856"/>
      <c r="B81" s="856"/>
      <c r="C81" s="856"/>
      <c r="D81" s="856"/>
      <c r="E81" s="856"/>
      <c r="F81" s="856"/>
      <c r="G81" s="856"/>
      <c r="H81" s="856"/>
      <c r="I81" s="856"/>
      <c r="J81" s="856"/>
      <c r="K81" s="856">
        <f>SUM(K76:K80)</f>
        <v>93.945799999999991</v>
      </c>
      <c r="L81" s="856">
        <f t="shared" ref="L81:Q81" si="11">SUM(L76:L80)</f>
        <v>36.662199999999999</v>
      </c>
      <c r="M81" s="856">
        <f t="shared" si="11"/>
        <v>38.88805</v>
      </c>
      <c r="N81" s="856">
        <f t="shared" si="11"/>
        <v>8.8005999999999993</v>
      </c>
      <c r="O81" s="856">
        <f t="shared" si="11"/>
        <v>0</v>
      </c>
      <c r="P81" s="856">
        <f t="shared" si="11"/>
        <v>0</v>
      </c>
      <c r="Q81" s="856">
        <f t="shared" si="11"/>
        <v>0</v>
      </c>
      <c r="S81" s="1190">
        <f>(M81+N81)/J80</f>
        <v>0.79481083333333324</v>
      </c>
      <c r="T81" s="805"/>
    </row>
    <row r="82" spans="1:21" ht="16.5" thickTop="1"/>
    <row r="83" spans="1:21" s="978" customFormat="1">
      <c r="A83" s="1572" t="s">
        <v>4015</v>
      </c>
      <c r="B83" s="1405" t="s">
        <v>3772</v>
      </c>
      <c r="C83" s="1405" t="s">
        <v>4014</v>
      </c>
      <c r="D83" s="1405" t="str">
        <f>VLOOKUP(G83,'Baumaterialien Matériaux'!$A$10:$AD$434,30,FALSE)</f>
        <v>Tuiles en béton</v>
      </c>
      <c r="E83" s="1405"/>
      <c r="F83" s="1405" t="str">
        <f>VLOOKUP(G83,'Baumaterialien Matériaux'!$A$10:$AD$434,7,FALSE)</f>
        <v>kg</v>
      </c>
      <c r="G83" s="1405" t="s">
        <v>1277</v>
      </c>
      <c r="H83" s="1405">
        <f>2300*0.08</f>
        <v>184</v>
      </c>
      <c r="I83" s="1405"/>
      <c r="J83" s="1568">
        <v>60</v>
      </c>
      <c r="K83" s="1586">
        <f>$H83*_xlfn.XLOOKUP($G83,'Baumaterialien Matériaux'!$A:$A,'Baumaterialien Matériaux'!V:V,0,0)</f>
        <v>76.543999999999997</v>
      </c>
      <c r="L83" s="1586">
        <f>$H83*_xlfn.XLOOKUP($G83,'Baumaterialien Matériaux'!$A:$A,'Baumaterialien Matériaux'!Y:Y,0,0)</f>
        <v>9.6783999999999999</v>
      </c>
      <c r="M83" s="1586">
        <f>$H83*_xlfn.XLOOKUP($G83,'Baumaterialien Matériaux'!$A:$A,'Baumaterialien Matériaux'!AA:AA,0,0)</f>
        <v>36.064</v>
      </c>
      <c r="N83" s="1586">
        <f>$H83*_xlfn.XLOOKUP($G83,'Baumaterialien Matériaux'!$A:$A,'Baumaterialien Matériaux'!AB:AB,0,0)</f>
        <v>2.3367999999999998</v>
      </c>
      <c r="O83" s="1586">
        <f>$H83*_xlfn.XLOOKUP($G83,'Baumaterialien Matériaux'!$A:$A,'Baumaterialien Matériaux'!AC:AC,0,0)*44/12</f>
        <v>0</v>
      </c>
      <c r="P83" s="1586">
        <f>$H83*_xlfn.XLOOKUP($G83,'Baumaterialien Matériaux'!$A:$A,'Baumaterialien Matériaux'!AG:AG,0,0)</f>
        <v>0</v>
      </c>
      <c r="Q83" s="1586">
        <f>$H83*_xlfn.XLOOKUP($G83,'Baumaterialien Matériaux'!$A:$A,'Baumaterialien Matériaux'!AH:AH,0,0)</f>
        <v>0</v>
      </c>
      <c r="S83" s="133"/>
      <c r="T83" s="1911"/>
    </row>
    <row r="84" spans="1:21" s="1405" customFormat="1">
      <c r="A84" s="258"/>
      <c r="B84" s="1571" t="s">
        <v>3998</v>
      </c>
      <c r="C84" s="1570"/>
      <c r="D84" s="1570" t="str">
        <f>VLOOKUP(G84,'Baumaterialien Matériaux'!$A$10:$AD$434,30,FALSE)</f>
        <v>Sable 1</v>
      </c>
      <c r="E84" s="1570"/>
      <c r="F84" s="1570" t="str">
        <f>VLOOKUP(G84,'Baumaterialien Matériaux'!$A$10:$AD$434,7,FALSE)</f>
        <v>kg</v>
      </c>
      <c r="G84" s="1358" t="s">
        <v>758</v>
      </c>
      <c r="H84" s="1405">
        <f>1500*5/100*0.04</f>
        <v>3</v>
      </c>
      <c r="J84" s="1568">
        <v>60</v>
      </c>
      <c r="K84" s="1586">
        <f>$H84*_xlfn.XLOOKUP($G84,'Baumaterialien Matériaux'!$A:$A,'Baumaterialien Matériaux'!V:V,0,0)</f>
        <v>4.6799999999999994E-2</v>
      </c>
      <c r="L84" s="1586">
        <f>$H84*_xlfn.XLOOKUP($G84,'Baumaterialien Matériaux'!$A:$A,'Baumaterialien Matériaux'!Y:Y,0,0)</f>
        <v>0.1578</v>
      </c>
      <c r="M84" s="1587">
        <f>$H84*_xlfn.XLOOKUP($G84,'Baumaterialien Matériaux'!$A:$A,'Baumaterialien Matériaux'!AA:AA,0,0)</f>
        <v>9.1500000000000001E-3</v>
      </c>
      <c r="N84" s="1587">
        <f>$H84*_xlfn.XLOOKUP($G84,'Baumaterialien Matériaux'!$A:$A,'Baumaterialien Matériaux'!AB:AB,0,0)</f>
        <v>3.78E-2</v>
      </c>
      <c r="O84" s="1586">
        <f>$H84*_xlfn.XLOOKUP($G84,'Baumaterialien Matériaux'!$A:$A,'Baumaterialien Matériaux'!AC:AC,0,0)*44/12</f>
        <v>0</v>
      </c>
      <c r="P84" s="1586">
        <f>$H84*_xlfn.XLOOKUP($G84,'Baumaterialien Matériaux'!$A:$A,'Baumaterialien Matériaux'!AG:AG,0,0)</f>
        <v>0</v>
      </c>
      <c r="Q84" s="1586">
        <f>$H84*_xlfn.XLOOKUP($G84,'Baumaterialien Matériaux'!$A:$A,'Baumaterialien Matériaux'!AH:AH,0,0)</f>
        <v>0</v>
      </c>
      <c r="T84" s="1911"/>
      <c r="U84" s="1571"/>
    </row>
    <row r="85" spans="1:21">
      <c r="A85" s="258"/>
      <c r="B85" s="1571" t="s">
        <v>3978</v>
      </c>
      <c r="C85" s="1405" t="s">
        <v>4020</v>
      </c>
      <c r="D85" s="1405" t="str">
        <f>VLOOKUP(G85,'Baumaterialien Matériaux'!$A$10:$AD$434,30,FALSE)</f>
        <v>Gravier concassé 1</v>
      </c>
      <c r="E85" s="1405"/>
      <c r="F85" s="1405" t="str">
        <f>VLOOKUP(G85,'Baumaterialien Matériaux'!$A$10:$AD$434,7,FALSE)</f>
        <v>kg</v>
      </c>
      <c r="G85" s="1405" t="s">
        <v>816</v>
      </c>
      <c r="H85" s="1405">
        <f>1500*0.04</f>
        <v>60</v>
      </c>
      <c r="I85" s="1405"/>
      <c r="J85" s="1568">
        <v>60</v>
      </c>
      <c r="K85" s="1586">
        <f>$H85*_xlfn.XLOOKUP($G85,'Baumaterialien Matériaux'!$A:$A,'Baumaterialien Matériaux'!V:V,0,0)</f>
        <v>1.9259999999999997</v>
      </c>
      <c r="L85" s="1586">
        <f>$H85*_xlfn.XLOOKUP($G85,'Baumaterialien Matériaux'!$A:$A,'Baumaterialien Matériaux'!Y:Y,0,0)</f>
        <v>3.1560000000000001</v>
      </c>
      <c r="M85" s="1586">
        <f>$H85*_xlfn.XLOOKUP($G85,'Baumaterialien Matériaux'!$A:$A,'Baumaterialien Matériaux'!AA:AA,0,0)</f>
        <v>0.30059999999999998</v>
      </c>
      <c r="N85" s="1586">
        <f>$H85*_xlfn.XLOOKUP($G85,'Baumaterialien Matériaux'!$A:$A,'Baumaterialien Matériaux'!AB:AB,0,0)</f>
        <v>0.75600000000000001</v>
      </c>
      <c r="O85" s="1586">
        <f>$H85*_xlfn.XLOOKUP($G85,'Baumaterialien Matériaux'!$A:$A,'Baumaterialien Matériaux'!AC:AC,0,0)*44/12</f>
        <v>0</v>
      </c>
      <c r="P85" s="1586">
        <f>$H85*_xlfn.XLOOKUP($G85,'Baumaterialien Matériaux'!$A:$A,'Baumaterialien Matériaux'!AG:AG,0,0)</f>
        <v>0</v>
      </c>
      <c r="Q85" s="1586">
        <f>$H85*_xlfn.XLOOKUP($G85,'Baumaterialien Matériaux'!$A:$A,'Baumaterialien Matériaux'!AH:AH,0,0)</f>
        <v>0</v>
      </c>
      <c r="S85" s="133"/>
      <c r="T85" s="1911"/>
    </row>
    <row r="86" spans="1:21">
      <c r="A86" s="258"/>
      <c r="B86" s="1571" t="s">
        <v>3979</v>
      </c>
      <c r="C86" s="1405" t="s">
        <v>4002</v>
      </c>
      <c r="D86" s="1405" t="str">
        <f>VLOOKUP(G86,'Baumaterialien Matériaux'!$A$10:$AD$434,30,FALSE)</f>
        <v>Gravier concassé 1</v>
      </c>
      <c r="E86" s="1405"/>
      <c r="F86" s="1405" t="str">
        <f>VLOOKUP(G86,'Baumaterialien Matériaux'!$A$10:$AD$434,7,FALSE)</f>
        <v>kg</v>
      </c>
      <c r="G86" s="1405" t="s">
        <v>816</v>
      </c>
      <c r="H86" s="1405">
        <f>1500*0.3</f>
        <v>450</v>
      </c>
      <c r="I86" s="1405"/>
      <c r="J86" s="1568">
        <v>60</v>
      </c>
      <c r="K86" s="1586">
        <f>$H86*_xlfn.XLOOKUP($G86,'Baumaterialien Matériaux'!$A:$A,'Baumaterialien Matériaux'!V:V,0,0)</f>
        <v>14.444999999999999</v>
      </c>
      <c r="L86" s="1586">
        <f>$H86*_xlfn.XLOOKUP($G86,'Baumaterialien Matériaux'!$A:$A,'Baumaterialien Matériaux'!Y:Y,0,0)</f>
        <v>23.67</v>
      </c>
      <c r="M86" s="1586">
        <f>$H86*_xlfn.XLOOKUP($G86,'Baumaterialien Matériaux'!$A:$A,'Baumaterialien Matériaux'!AA:AA,0,0)</f>
        <v>2.2544999999999997</v>
      </c>
      <c r="N86" s="1586">
        <f>$H86*_xlfn.XLOOKUP($G86,'Baumaterialien Matériaux'!$A:$A,'Baumaterialien Matériaux'!AB:AB,0,0)</f>
        <v>5.67</v>
      </c>
      <c r="O86" s="1586">
        <f>$H86*_xlfn.XLOOKUP($G86,'Baumaterialien Matériaux'!$A:$A,'Baumaterialien Matériaux'!AC:AC,0,0)*44/12</f>
        <v>0</v>
      </c>
      <c r="P86" s="1586">
        <f>$H86*_xlfn.XLOOKUP($G86,'Baumaterialien Matériaux'!$A:$A,'Baumaterialien Matériaux'!AG:AG,0,0)</f>
        <v>0</v>
      </c>
      <c r="Q86" s="1586">
        <f>$H86*_xlfn.XLOOKUP($G86,'Baumaterialien Matériaux'!$A:$A,'Baumaterialien Matériaux'!AH:AH,0,0)</f>
        <v>0</v>
      </c>
      <c r="S86" s="133"/>
      <c r="T86" s="1911"/>
    </row>
    <row r="87" spans="1:21">
      <c r="A87" s="258"/>
      <c r="B87" s="1571" t="s">
        <v>3999</v>
      </c>
      <c r="C87" s="1405" t="s">
        <v>4016</v>
      </c>
      <c r="D87" s="1405" t="str">
        <f>VLOOKUP(G87,'Transporte Transports'!$A$10:$AD$432,27,FALSE)</f>
        <v>Excavations mécaniques, en moyenne</v>
      </c>
      <c r="E87" s="1405"/>
      <c r="F87" s="1405" t="str">
        <f>VLOOKUP(G87,'Transporte Transports'!$A$10:$AD$432,5,FALSE)</f>
        <v>m3</v>
      </c>
      <c r="G87" s="1405" t="s">
        <v>519</v>
      </c>
      <c r="H87" s="1405">
        <v>0.6</v>
      </c>
      <c r="I87" s="1405"/>
      <c r="J87" s="1568">
        <v>60</v>
      </c>
      <c r="K87" s="1586">
        <f>$H87*_xlfn.XLOOKUP($G87,'Transporte Transports'!$A:$A,'Transporte Transports'!R:R,0,0)</f>
        <v>0.98399999999999987</v>
      </c>
      <c r="L87" s="1586"/>
      <c r="M87" s="1569">
        <f>$H87*_xlfn.XLOOKUP($G87,'Transporte Transports'!$A:$A,'Transporte Transports'!V:V,0,0)</f>
        <v>0.25979999999999998</v>
      </c>
      <c r="N87" s="1569"/>
      <c r="O87" s="1586"/>
      <c r="P87" s="1586"/>
      <c r="Q87" s="1586"/>
      <c r="S87" s="133"/>
      <c r="T87" s="1912"/>
    </row>
    <row r="88" spans="1:21" ht="16.5" thickBot="1">
      <c r="A88" s="856"/>
      <c r="B88" s="856"/>
      <c r="C88" s="856"/>
      <c r="D88" s="856"/>
      <c r="E88" s="856"/>
      <c r="F88" s="856"/>
      <c r="G88" s="856"/>
      <c r="H88" s="856"/>
      <c r="I88" s="856"/>
      <c r="J88" s="856"/>
      <c r="K88" s="856">
        <f>SUM(K83:K87)</f>
        <v>93.945799999999991</v>
      </c>
      <c r="L88" s="856">
        <f t="shared" ref="L88:Q88" si="12">SUM(L83:L87)</f>
        <v>36.662199999999999</v>
      </c>
      <c r="M88" s="856">
        <f t="shared" si="12"/>
        <v>38.88805</v>
      </c>
      <c r="N88" s="856">
        <f t="shared" si="12"/>
        <v>8.8005999999999993</v>
      </c>
      <c r="O88" s="856">
        <f t="shared" si="12"/>
        <v>0</v>
      </c>
      <c r="P88" s="856">
        <f t="shared" si="12"/>
        <v>0</v>
      </c>
      <c r="Q88" s="856">
        <f t="shared" si="12"/>
        <v>0</v>
      </c>
      <c r="S88" s="1190">
        <f>(M88+N88)/J87</f>
        <v>0.79481083333333324</v>
      </c>
      <c r="T88" s="805"/>
    </row>
    <row r="89" spans="1:21" ht="16.5" thickTop="1"/>
    <row r="90" spans="1:21" s="978" customFormat="1">
      <c r="A90" s="1572" t="s">
        <v>4030</v>
      </c>
      <c r="B90" s="1405" t="s">
        <v>793</v>
      </c>
      <c r="C90" s="1405" t="s">
        <v>4020</v>
      </c>
      <c r="D90" s="1405" t="str">
        <f>VLOOKUP(G90,'Baumaterialien Matériaux'!$A$10:$AD$434,30,FALSE)</f>
        <v>Tuiles en béton</v>
      </c>
      <c r="E90" s="1405"/>
      <c r="F90" s="1405" t="str">
        <f>VLOOKUP(G90,'Baumaterialien Matériaux'!$A$10:$AD$434,7,FALSE)</f>
        <v>kg</v>
      </c>
      <c r="G90" s="1405" t="s">
        <v>1277</v>
      </c>
      <c r="H90" s="1405">
        <f>2300*0.04</f>
        <v>92</v>
      </c>
      <c r="I90" s="1405"/>
      <c r="J90" s="1568">
        <v>60</v>
      </c>
      <c r="K90" s="1586">
        <f>$H90*_xlfn.XLOOKUP($G90,'Baumaterialien Matériaux'!$A:$A,'Baumaterialien Matériaux'!V:V,0,0)</f>
        <v>38.271999999999998</v>
      </c>
      <c r="L90" s="1586">
        <f>$H90*_xlfn.XLOOKUP($G90,'Baumaterialien Matériaux'!$A:$A,'Baumaterialien Matériaux'!Y:Y,0,0)</f>
        <v>4.8391999999999999</v>
      </c>
      <c r="M90" s="1586">
        <f>$H90*_xlfn.XLOOKUP($G90,'Baumaterialien Matériaux'!$A:$A,'Baumaterialien Matériaux'!AA:AA,0,0)</f>
        <v>18.032</v>
      </c>
      <c r="N90" s="1586">
        <f>$H90*_xlfn.XLOOKUP($G90,'Baumaterialien Matériaux'!$A:$A,'Baumaterialien Matériaux'!AB:AB,0,0)</f>
        <v>1.1683999999999999</v>
      </c>
      <c r="O90" s="1586">
        <f>$H90*_xlfn.XLOOKUP($G90,'Baumaterialien Matériaux'!$A:$A,'Baumaterialien Matériaux'!AC:AC,0,0)*44/12</f>
        <v>0</v>
      </c>
      <c r="P90" s="1586">
        <f>$H90*_xlfn.XLOOKUP($G90,'Baumaterialien Matériaux'!$A:$A,'Baumaterialien Matériaux'!AG:AG,0,0)</f>
        <v>0</v>
      </c>
      <c r="Q90" s="1586">
        <f>$H90*_xlfn.XLOOKUP($G90,'Baumaterialien Matériaux'!$A:$A,'Baumaterialien Matériaux'!AH:AH,0,0)</f>
        <v>0</v>
      </c>
      <c r="S90" s="133"/>
      <c r="T90" s="1911"/>
    </row>
    <row r="91" spans="1:21" s="1405" customFormat="1">
      <c r="A91" s="258"/>
      <c r="B91" s="1571" t="s">
        <v>3998</v>
      </c>
      <c r="C91" s="1570"/>
      <c r="D91" s="1570" t="str">
        <f>VLOOKUP(G91,'Baumaterialien Matériaux'!$A$10:$AD$434,30,FALSE)</f>
        <v>Sable 1</v>
      </c>
      <c r="E91" s="1570"/>
      <c r="F91" s="1570" t="str">
        <f>VLOOKUP(G91,'Baumaterialien Matériaux'!$A$10:$AD$434,7,FALSE)</f>
        <v>kg</v>
      </c>
      <c r="G91" s="1358" t="s">
        <v>758</v>
      </c>
      <c r="H91" s="1405">
        <f>1500*5/100*0.04</f>
        <v>3</v>
      </c>
      <c r="J91" s="1568">
        <v>60</v>
      </c>
      <c r="K91" s="1586">
        <f>$H91*_xlfn.XLOOKUP($G91,'Baumaterialien Matériaux'!$A:$A,'Baumaterialien Matériaux'!V:V,0,0)</f>
        <v>4.6799999999999994E-2</v>
      </c>
      <c r="L91" s="1586">
        <f>$H91*_xlfn.XLOOKUP($G91,'Baumaterialien Matériaux'!$A:$A,'Baumaterialien Matériaux'!Y:Y,0,0)</f>
        <v>0.1578</v>
      </c>
      <c r="M91" s="1587">
        <f>$H91*_xlfn.XLOOKUP($G91,'Baumaterialien Matériaux'!$A:$A,'Baumaterialien Matériaux'!AA:AA,0,0)</f>
        <v>9.1500000000000001E-3</v>
      </c>
      <c r="N91" s="1587">
        <f>$H91*_xlfn.XLOOKUP($G91,'Baumaterialien Matériaux'!$A:$A,'Baumaterialien Matériaux'!AB:AB,0,0)</f>
        <v>3.78E-2</v>
      </c>
      <c r="O91" s="1586">
        <f>$H91*_xlfn.XLOOKUP($G91,'Baumaterialien Matériaux'!$A:$A,'Baumaterialien Matériaux'!AC:AC,0,0)*44/12</f>
        <v>0</v>
      </c>
      <c r="P91" s="1586">
        <f>$H91*_xlfn.XLOOKUP($G91,'Baumaterialien Matériaux'!$A:$A,'Baumaterialien Matériaux'!AG:AG,0,0)</f>
        <v>0</v>
      </c>
      <c r="Q91" s="1586">
        <f>$H91*_xlfn.XLOOKUP($G91,'Baumaterialien Matériaux'!$A:$A,'Baumaterialien Matériaux'!AH:AH,0,0)</f>
        <v>0</v>
      </c>
      <c r="T91" s="1911"/>
      <c r="U91" s="1571"/>
    </row>
    <row r="92" spans="1:21">
      <c r="A92" s="258"/>
      <c r="B92" s="1571" t="s">
        <v>3978</v>
      </c>
      <c r="C92" s="1405" t="s">
        <v>4022</v>
      </c>
      <c r="D92" s="1405" t="str">
        <f>VLOOKUP(G92,'Baumaterialien Matériaux'!$A$10:$AD$434,30,FALSE)</f>
        <v>Gravier concassé 1</v>
      </c>
      <c r="E92" s="1405"/>
      <c r="F92" s="1405" t="str">
        <f>VLOOKUP(G92,'Baumaterialien Matériaux'!$A$10:$AD$434,7,FALSE)</f>
        <v>kg</v>
      </c>
      <c r="G92" s="1405" t="s">
        <v>816</v>
      </c>
      <c r="H92" s="1405">
        <f>1500*0.03</f>
        <v>45</v>
      </c>
      <c r="I92" s="1405"/>
      <c r="J92" s="1568">
        <v>60</v>
      </c>
      <c r="K92" s="1586">
        <f>$H92*_xlfn.XLOOKUP($G92,'Baumaterialien Matériaux'!$A:$A,'Baumaterialien Matériaux'!V:V,0,0)</f>
        <v>1.4444999999999999</v>
      </c>
      <c r="L92" s="1586">
        <f>$H92*_xlfn.XLOOKUP($G92,'Baumaterialien Matériaux'!$A:$A,'Baumaterialien Matériaux'!Y:Y,0,0)</f>
        <v>2.367</v>
      </c>
      <c r="M92" s="1586">
        <f>$H92*_xlfn.XLOOKUP($G92,'Baumaterialien Matériaux'!$A:$A,'Baumaterialien Matériaux'!AA:AA,0,0)</f>
        <v>0.22544999999999998</v>
      </c>
      <c r="N92" s="1586">
        <f>$H92*_xlfn.XLOOKUP($G92,'Baumaterialien Matériaux'!$A:$A,'Baumaterialien Matériaux'!AB:AB,0,0)</f>
        <v>0.56699999999999995</v>
      </c>
      <c r="O92" s="1586">
        <f>$H92*_xlfn.XLOOKUP($G92,'Baumaterialien Matériaux'!$A:$A,'Baumaterialien Matériaux'!AC:AC,0,0)*44/12</f>
        <v>0</v>
      </c>
      <c r="P92" s="1586">
        <f>$H92*_xlfn.XLOOKUP($G92,'Baumaterialien Matériaux'!$A:$A,'Baumaterialien Matériaux'!AG:AG,0,0)</f>
        <v>0</v>
      </c>
      <c r="Q92" s="1586">
        <f>$H92*_xlfn.XLOOKUP($G92,'Baumaterialien Matériaux'!$A:$A,'Baumaterialien Matériaux'!AH:AH,0,0)</f>
        <v>0</v>
      </c>
      <c r="S92" s="133"/>
      <c r="T92" s="1911"/>
    </row>
    <row r="93" spans="1:21">
      <c r="A93" s="258"/>
      <c r="B93" s="1571" t="s">
        <v>3979</v>
      </c>
      <c r="C93" s="1405" t="s">
        <v>4021</v>
      </c>
      <c r="D93" s="1405" t="str">
        <f>VLOOKUP(G93,'Baumaterialien Matériaux'!$A$10:$AD$434,30,FALSE)</f>
        <v>Gravier concassé 1</v>
      </c>
      <c r="E93" s="1405"/>
      <c r="F93" s="1405" t="str">
        <f>VLOOKUP(G93,'Baumaterialien Matériaux'!$A$10:$AD$434,7,FALSE)</f>
        <v>kg</v>
      </c>
      <c r="G93" s="1405" t="s">
        <v>816</v>
      </c>
      <c r="H93" s="1405">
        <f>1500*0.2</f>
        <v>300</v>
      </c>
      <c r="I93" s="1405"/>
      <c r="J93" s="1568">
        <v>60</v>
      </c>
      <c r="K93" s="1586">
        <f>$H93*_xlfn.XLOOKUP($G93,'Baumaterialien Matériaux'!$A:$A,'Baumaterialien Matériaux'!V:V,0,0)</f>
        <v>9.629999999999999</v>
      </c>
      <c r="L93" s="1586">
        <f>$H93*_xlfn.XLOOKUP($G93,'Baumaterialien Matériaux'!$A:$A,'Baumaterialien Matériaux'!Y:Y,0,0)</f>
        <v>15.780000000000001</v>
      </c>
      <c r="M93" s="1586">
        <f>$H93*_xlfn.XLOOKUP($G93,'Baumaterialien Matériaux'!$A:$A,'Baumaterialien Matériaux'!AA:AA,0,0)</f>
        <v>1.5029999999999999</v>
      </c>
      <c r="N93" s="1586">
        <f>$H93*_xlfn.XLOOKUP($G93,'Baumaterialien Matériaux'!$A:$A,'Baumaterialien Matériaux'!AB:AB,0,0)</f>
        <v>3.7800000000000002</v>
      </c>
      <c r="O93" s="1586">
        <f>$H93*_xlfn.XLOOKUP($G93,'Baumaterialien Matériaux'!$A:$A,'Baumaterialien Matériaux'!AC:AC,0,0)*44/12</f>
        <v>0</v>
      </c>
      <c r="P93" s="1586">
        <f>$H93*_xlfn.XLOOKUP($G93,'Baumaterialien Matériaux'!$A:$A,'Baumaterialien Matériaux'!AG:AG,0,0)</f>
        <v>0</v>
      </c>
      <c r="Q93" s="1586">
        <f>$H93*_xlfn.XLOOKUP($G93,'Baumaterialien Matériaux'!$A:$A,'Baumaterialien Matériaux'!AH:AH,0,0)</f>
        <v>0</v>
      </c>
      <c r="S93" s="133"/>
      <c r="T93" s="1911"/>
    </row>
    <row r="94" spans="1:21">
      <c r="A94" s="258"/>
      <c r="B94" s="1571" t="s">
        <v>3999</v>
      </c>
      <c r="C94" s="1405" t="s">
        <v>4016</v>
      </c>
      <c r="D94" s="1405" t="str">
        <f>VLOOKUP(G94,'Transporte Transports'!$A$10:$AD$432,27,FALSE)</f>
        <v>Excavations mécaniques, en moyenne</v>
      </c>
      <c r="E94" s="1405"/>
      <c r="F94" s="1405" t="str">
        <f>VLOOKUP(G94,'Transporte Transports'!$A$10:$AD$432,5,FALSE)</f>
        <v>m3</v>
      </c>
      <c r="G94" s="1405" t="s">
        <v>519</v>
      </c>
      <c r="H94" s="1405">
        <v>0.6</v>
      </c>
      <c r="I94" s="1405"/>
      <c r="J94" s="1568">
        <v>60</v>
      </c>
      <c r="K94" s="1586">
        <f>$H94*_xlfn.XLOOKUP($G94,'Transporte Transports'!$A:$A,'Transporte Transports'!R:R,0,0)</f>
        <v>0.98399999999999987</v>
      </c>
      <c r="L94" s="1586"/>
      <c r="M94" s="1569">
        <f>$H94*_xlfn.XLOOKUP($G94,'Transporte Transports'!$A:$A,'Transporte Transports'!V:V,0,0)</f>
        <v>0.25979999999999998</v>
      </c>
      <c r="N94" s="1569"/>
      <c r="O94" s="1586"/>
      <c r="P94" s="1586"/>
      <c r="Q94" s="1586"/>
      <c r="S94" s="133"/>
      <c r="T94" s="1912"/>
    </row>
    <row r="95" spans="1:21" ht="16.5" thickBot="1">
      <c r="A95" s="856"/>
      <c r="B95" s="856"/>
      <c r="C95" s="856"/>
      <c r="D95" s="856"/>
      <c r="E95" s="856"/>
      <c r="F95" s="856"/>
      <c r="G95" s="856"/>
      <c r="H95" s="856"/>
      <c r="I95" s="856"/>
      <c r="J95" s="856"/>
      <c r="K95" s="856">
        <f>SUM(K90:K94)</f>
        <v>50.377299999999998</v>
      </c>
      <c r="L95" s="856">
        <f t="shared" ref="L95:Q95" si="13">SUM(L90:L94)</f>
        <v>23.144000000000002</v>
      </c>
      <c r="M95" s="856">
        <f t="shared" si="13"/>
        <v>20.029399999999999</v>
      </c>
      <c r="N95" s="856">
        <f t="shared" si="13"/>
        <v>5.5532000000000004</v>
      </c>
      <c r="O95" s="856">
        <f t="shared" si="13"/>
        <v>0</v>
      </c>
      <c r="P95" s="856">
        <f t="shared" si="13"/>
        <v>0</v>
      </c>
      <c r="Q95" s="856">
        <f t="shared" si="13"/>
        <v>0</v>
      </c>
      <c r="S95" s="1190">
        <f>(M95+N95)/J94</f>
        <v>0.42637666666666668</v>
      </c>
      <c r="T95" s="805"/>
    </row>
    <row r="96" spans="1:21" ht="16.5" thickTop="1">
      <c r="A96" s="1070"/>
      <c r="B96" s="1070"/>
      <c r="C96" s="1070"/>
      <c r="D96" s="1070"/>
      <c r="E96" s="1070"/>
      <c r="F96" s="1070"/>
      <c r="G96" s="1070"/>
      <c r="H96" s="1070"/>
      <c r="I96" s="1070"/>
      <c r="J96" s="1070"/>
      <c r="K96" s="1070"/>
      <c r="L96" s="1070"/>
      <c r="M96" s="1070"/>
      <c r="N96" s="1070"/>
      <c r="O96" s="1070"/>
      <c r="P96" s="1070"/>
      <c r="Q96" s="1070"/>
      <c r="S96" s="1190"/>
      <c r="T96" s="805"/>
    </row>
    <row r="97" spans="1:21" s="978" customFormat="1">
      <c r="A97" s="1572" t="s">
        <v>4042</v>
      </c>
      <c r="B97" s="1405" t="s">
        <v>793</v>
      </c>
      <c r="C97" s="1405" t="s">
        <v>4020</v>
      </c>
      <c r="D97" s="1405" t="str">
        <f>VLOOKUP(G97,'Baumaterialien Matériaux'!$A$10:$AD$434,30,FALSE)</f>
        <v>Dalle en pierre artificielle, liée au ciment, 10 mm</v>
      </c>
      <c r="E97" s="1405"/>
      <c r="F97" s="1405" t="str">
        <f>VLOOKUP(G97,'Baumaterialien Matériaux'!$A$10:$AD$434,7,FALSE)</f>
        <v>m2</v>
      </c>
      <c r="G97" s="109" t="s">
        <v>2217</v>
      </c>
      <c r="H97" s="1405">
        <f>4</f>
        <v>4</v>
      </c>
      <c r="I97" s="1405"/>
      <c r="J97" s="1568">
        <v>60</v>
      </c>
      <c r="K97" s="1586">
        <f>$H97*_xlfn.XLOOKUP($G97,'Baumaterialien Matériaux'!$A:$A,'Baumaterialien Matériaux'!V:V,0,0)</f>
        <v>24.16</v>
      </c>
      <c r="L97" s="1586">
        <f>$H97*_xlfn.XLOOKUP($G97,'Baumaterialien Matériaux'!$A:$A,'Baumaterialien Matériaux'!Y:Y,0,0)</f>
        <v>97.2</v>
      </c>
      <c r="M97" s="1586">
        <f>$H97*_xlfn.XLOOKUP($G97,'Baumaterialien Matériaux'!$A:$A,'Baumaterialien Matériaux'!AA:AA,0,0)</f>
        <v>18.04</v>
      </c>
      <c r="N97" s="1586">
        <f>$H97*_xlfn.XLOOKUP($G97,'Baumaterialien Matériaux'!$A:$A,'Baumaterialien Matériaux'!AB:AB,0,0)</f>
        <v>23.44</v>
      </c>
      <c r="O97" s="1586">
        <f>$H97*_xlfn.XLOOKUP($G97,'Baumaterialien Matériaux'!$A:$A,'Baumaterialien Matériaux'!AC:AC,0,0)*44/12</f>
        <v>0</v>
      </c>
      <c r="P97" s="1586">
        <f>$H97*_xlfn.XLOOKUP($G97,'Baumaterialien Matériaux'!$A:$A,'Baumaterialien Matériaux'!AG:AG,0,0)</f>
        <v>0</v>
      </c>
      <c r="Q97" s="1586">
        <f>$H97*_xlfn.XLOOKUP($G97,'Baumaterialien Matériaux'!$A:$A,'Baumaterialien Matériaux'!AH:AH,0,0)</f>
        <v>0</v>
      </c>
      <c r="S97" s="133"/>
      <c r="T97" s="1911"/>
    </row>
    <row r="98" spans="1:21" s="1405" customFormat="1">
      <c r="A98" s="258"/>
      <c r="B98" s="1571" t="s">
        <v>3998</v>
      </c>
      <c r="C98" s="1570" t="s">
        <v>4023</v>
      </c>
      <c r="D98" s="1570" t="str">
        <f>VLOOKUP(G98,'Baumaterialien Matériaux'!$A$10:$AD$434,30,FALSE)</f>
        <v>Enduit de ciment</v>
      </c>
      <c r="E98" s="1570"/>
      <c r="F98" s="1570" t="str">
        <f>VLOOKUP(G98,'Baumaterialien Matériaux'!$A$10:$AD$434,7,FALSE)</f>
        <v>kg</v>
      </c>
      <c r="G98" s="1570" t="s">
        <v>625</v>
      </c>
      <c r="H98" s="1405">
        <f>1550*5/100*0.04</f>
        <v>3.1</v>
      </c>
      <c r="J98" s="1568">
        <v>60</v>
      </c>
      <c r="K98" s="1586">
        <f>$H98*_xlfn.XLOOKUP($G98,'Baumaterialien Matériaux'!$A:$A,'Baumaterialien Matériaux'!V:V,0,0)</f>
        <v>1.8662000000000001</v>
      </c>
      <c r="L98" s="1586">
        <f>$H98*_xlfn.XLOOKUP($G98,'Baumaterialien Matériaux'!$A:$A,'Baumaterialien Matériaux'!Y:Y,0,0)</f>
        <v>0.16244</v>
      </c>
      <c r="M98" s="1586">
        <f>$H98*_xlfn.XLOOKUP($G98,'Baumaterialien Matériaux'!$A:$A,'Baumaterialien Matériaux'!AA:AA,0,0)</f>
        <v>0.76880000000000004</v>
      </c>
      <c r="N98" s="1586">
        <f>$H98*_xlfn.XLOOKUP($G98,'Baumaterialien Matériaux'!$A:$A,'Baumaterialien Matériaux'!AB:AB,0,0)</f>
        <v>3.9370000000000002E-2</v>
      </c>
      <c r="O98" s="1586">
        <f>$H98*_xlfn.XLOOKUP($G98,'Baumaterialien Matériaux'!$A:$A,'Baumaterialien Matériaux'!AC:AC,0,0)*44/12</f>
        <v>0</v>
      </c>
      <c r="P98" s="1586">
        <f>$H98*_xlfn.XLOOKUP($G98,'Baumaterialien Matériaux'!$A:$A,'Baumaterialien Matériaux'!AG:AG,0,0)</f>
        <v>0</v>
      </c>
      <c r="Q98" s="1586">
        <f>$H98*_xlfn.XLOOKUP($G98,'Baumaterialien Matériaux'!$A:$A,'Baumaterialien Matériaux'!AH:AH,0,0)</f>
        <v>0</v>
      </c>
      <c r="T98" s="1911"/>
      <c r="U98" s="1571"/>
    </row>
    <row r="99" spans="1:21">
      <c r="A99" s="258"/>
      <c r="B99" s="1571" t="s">
        <v>3978</v>
      </c>
      <c r="C99" s="1405" t="s">
        <v>4022</v>
      </c>
      <c r="D99" s="1405" t="str">
        <f>VLOOKUP(G99,'Baumaterialien Matériaux'!$A$10:$AD$434,30,FALSE)</f>
        <v>Gravier concassé 1</v>
      </c>
      <c r="E99" s="1405"/>
      <c r="F99" s="1405" t="str">
        <f>VLOOKUP(G99,'Baumaterialien Matériaux'!$A$10:$AD$434,7,FALSE)</f>
        <v>kg</v>
      </c>
      <c r="G99" s="1405" t="s">
        <v>816</v>
      </c>
      <c r="H99" s="1405">
        <f>1500*0.03</f>
        <v>45</v>
      </c>
      <c r="I99" s="1405"/>
      <c r="J99" s="1568">
        <v>60</v>
      </c>
      <c r="K99" s="1586">
        <f>$H99*_xlfn.XLOOKUP($G99,'Baumaterialien Matériaux'!$A:$A,'Baumaterialien Matériaux'!V:V,0,0)</f>
        <v>1.4444999999999999</v>
      </c>
      <c r="L99" s="1586">
        <f>$H99*_xlfn.XLOOKUP($G99,'Baumaterialien Matériaux'!$A:$A,'Baumaterialien Matériaux'!Y:Y,0,0)</f>
        <v>2.367</v>
      </c>
      <c r="M99" s="1586">
        <f>$H99*_xlfn.XLOOKUP($G99,'Baumaterialien Matériaux'!$A:$A,'Baumaterialien Matériaux'!AA:AA,0,0)</f>
        <v>0.22544999999999998</v>
      </c>
      <c r="N99" s="1586">
        <f>$H99*_xlfn.XLOOKUP($G99,'Baumaterialien Matériaux'!$A:$A,'Baumaterialien Matériaux'!AB:AB,0,0)</f>
        <v>0.56699999999999995</v>
      </c>
      <c r="O99" s="1586">
        <f>$H99*_xlfn.XLOOKUP($G99,'Baumaterialien Matériaux'!$A:$A,'Baumaterialien Matériaux'!AC:AC,0,0)*44/12</f>
        <v>0</v>
      </c>
      <c r="P99" s="1586">
        <f>$H99*_xlfn.XLOOKUP($G99,'Baumaterialien Matériaux'!$A:$A,'Baumaterialien Matériaux'!AG:AG,0,0)</f>
        <v>0</v>
      </c>
      <c r="Q99" s="1586">
        <f>$H99*_xlfn.XLOOKUP($G99,'Baumaterialien Matériaux'!$A:$A,'Baumaterialien Matériaux'!AH:AH,0,0)</f>
        <v>0</v>
      </c>
      <c r="S99" s="133"/>
      <c r="T99" s="1911"/>
    </row>
    <row r="100" spans="1:21" s="1405" customFormat="1">
      <c r="A100" s="258"/>
      <c r="B100" s="1571" t="s">
        <v>3981</v>
      </c>
      <c r="C100" s="1405" t="s">
        <v>4004</v>
      </c>
      <c r="D100" s="1405" t="str">
        <f>VLOOKUP(G100,'Baumaterialien Matériaux'!$A$10:$AD$434,30,FALSE)</f>
        <v>Béton maigre (sans armature)</v>
      </c>
      <c r="F100" s="1405" t="str">
        <f>VLOOKUP(G100,'Baumaterialien Matériaux'!$A$10:$AD$434,7,FALSE)</f>
        <v>kg</v>
      </c>
      <c r="G100" s="1405" t="s">
        <v>568</v>
      </c>
      <c r="H100" s="1405">
        <f>2150*0.12</f>
        <v>258</v>
      </c>
      <c r="J100" s="1568">
        <v>60</v>
      </c>
      <c r="K100" s="1586">
        <f>$H100*_xlfn.XLOOKUP($G100,'Baumaterialien Matériaux'!$A:$A,'Baumaterialien Matériaux'!V:V,0,0)</f>
        <v>19.788600000000002</v>
      </c>
      <c r="L100" s="1586">
        <f>$H100*_xlfn.XLOOKUP($G100,'Baumaterialien Matériaux'!$A:$A,'Baumaterialien Matériaux'!Y:Y,0,0)</f>
        <v>13.312799999999999</v>
      </c>
      <c r="M100" s="1586">
        <f>$H100*_xlfn.XLOOKUP($G100,'Baumaterialien Matériaux'!$A:$A,'Baumaterialien Matériaux'!AA:AA,0,0)</f>
        <v>12.951600000000001</v>
      </c>
      <c r="N100" s="1586">
        <f>$H100*_xlfn.XLOOKUP($G100,'Baumaterialien Matériaux'!$A:$A,'Baumaterialien Matériaux'!AB:AB,0,0)</f>
        <v>3.2507999999999999</v>
      </c>
      <c r="O100" s="1586">
        <f>$H100*_xlfn.XLOOKUP($G100,'Baumaterialien Matériaux'!$A:$A,'Baumaterialien Matériaux'!AC:AC,0,0)*44/12</f>
        <v>0</v>
      </c>
      <c r="P100" s="1586">
        <f>$H100*_xlfn.XLOOKUP($G100,'Baumaterialien Matériaux'!$A:$A,'Baumaterialien Matériaux'!AG:AG,0,0)</f>
        <v>0</v>
      </c>
      <c r="Q100" s="1586">
        <f>$H100*_xlfn.XLOOKUP($G100,'Baumaterialien Matériaux'!$A:$A,'Baumaterialien Matériaux'!AH:AH,0,0)</f>
        <v>0</v>
      </c>
      <c r="T100" s="1911"/>
      <c r="U100" s="1571"/>
    </row>
    <row r="101" spans="1:21">
      <c r="A101" s="258"/>
      <c r="B101" s="1571" t="s">
        <v>3979</v>
      </c>
      <c r="C101" s="1405" t="s">
        <v>4021</v>
      </c>
      <c r="D101" s="1405" t="str">
        <f>VLOOKUP(G101,'Baumaterialien Matériaux'!$A$10:$AD$434,30,FALSE)</f>
        <v>Gravier concassé 1</v>
      </c>
      <c r="E101" s="1405"/>
      <c r="F101" s="1405" t="str">
        <f>VLOOKUP(G101,'Baumaterialien Matériaux'!$A$10:$AD$434,7,FALSE)</f>
        <v>kg</v>
      </c>
      <c r="G101" s="1405" t="s">
        <v>816</v>
      </c>
      <c r="H101" s="1405">
        <f>1500*0.2</f>
        <v>300</v>
      </c>
      <c r="I101" s="1405"/>
      <c r="J101" s="1568">
        <v>60</v>
      </c>
      <c r="K101" s="1586">
        <f>$H101*_xlfn.XLOOKUP($G101,'Baumaterialien Matériaux'!$A:$A,'Baumaterialien Matériaux'!V:V,0,0)</f>
        <v>9.629999999999999</v>
      </c>
      <c r="L101" s="1586">
        <f>$H101*_xlfn.XLOOKUP($G101,'Baumaterialien Matériaux'!$A:$A,'Baumaterialien Matériaux'!Y:Y,0,0)</f>
        <v>15.780000000000001</v>
      </c>
      <c r="M101" s="1586">
        <f>$H101*_xlfn.XLOOKUP($G101,'Baumaterialien Matériaux'!$A:$A,'Baumaterialien Matériaux'!AA:AA,0,0)</f>
        <v>1.5029999999999999</v>
      </c>
      <c r="N101" s="1586">
        <f>$H101*_xlfn.XLOOKUP($G101,'Baumaterialien Matériaux'!$A:$A,'Baumaterialien Matériaux'!AB:AB,0,0)</f>
        <v>3.7800000000000002</v>
      </c>
      <c r="O101" s="1586">
        <f>$H101*_xlfn.XLOOKUP($G101,'Baumaterialien Matériaux'!$A:$A,'Baumaterialien Matériaux'!AC:AC,0,0)*44/12</f>
        <v>0</v>
      </c>
      <c r="P101" s="1586">
        <f>$H101*_xlfn.XLOOKUP($G101,'Baumaterialien Matériaux'!$A:$A,'Baumaterialien Matériaux'!AG:AG,0,0)</f>
        <v>0</v>
      </c>
      <c r="Q101" s="1586">
        <f>$H101*_xlfn.XLOOKUP($G101,'Baumaterialien Matériaux'!$A:$A,'Baumaterialien Matériaux'!AH:AH,0,0)</f>
        <v>0</v>
      </c>
      <c r="S101" s="133"/>
      <c r="T101" s="1911"/>
    </row>
    <row r="102" spans="1:21">
      <c r="A102" s="258"/>
      <c r="B102" s="1571" t="s">
        <v>3999</v>
      </c>
      <c r="C102" s="1405" t="s">
        <v>4016</v>
      </c>
      <c r="D102" s="1405" t="str">
        <f>VLOOKUP(G102,'Transporte Transports'!$A$10:$AD$432,27,FALSE)</f>
        <v>Excavations mécaniques, en moyenne</v>
      </c>
      <c r="E102" s="1405"/>
      <c r="F102" s="1405" t="str">
        <f>VLOOKUP(G102,'Transporte Transports'!$A$10:$AD$432,5,FALSE)</f>
        <v>m3</v>
      </c>
      <c r="G102" s="1405" t="s">
        <v>519</v>
      </c>
      <c r="H102" s="1405">
        <v>0.6</v>
      </c>
      <c r="I102" s="1405"/>
      <c r="J102" s="1568">
        <v>60</v>
      </c>
      <c r="K102" s="1586">
        <f>$H102*_xlfn.XLOOKUP($G102,'Transporte Transports'!$A:$A,'Transporte Transports'!R:R,0,0)</f>
        <v>0.98399999999999987</v>
      </c>
      <c r="L102" s="1586"/>
      <c r="M102" s="1569">
        <f>$H102*_xlfn.XLOOKUP($G102,'Transporte Transports'!$A:$A,'Transporte Transports'!V:V,0,0)</f>
        <v>0.25979999999999998</v>
      </c>
      <c r="N102" s="1569"/>
      <c r="O102" s="1586"/>
      <c r="P102" s="1586"/>
      <c r="Q102" s="1586"/>
      <c r="S102" s="133"/>
      <c r="T102" s="1912"/>
    </row>
    <row r="103" spans="1:21" ht="16.5" thickBot="1">
      <c r="A103" s="856"/>
      <c r="B103" s="856"/>
      <c r="C103" s="856"/>
      <c r="D103" s="856"/>
      <c r="E103" s="856"/>
      <c r="F103" s="856"/>
      <c r="G103" s="856"/>
      <c r="H103" s="856"/>
      <c r="I103" s="856"/>
      <c r="J103" s="856"/>
      <c r="K103" s="856">
        <f>SUM(K97:K102)</f>
        <v>57.873300000000008</v>
      </c>
      <c r="L103" s="856">
        <f t="shared" ref="L103:Q103" si="14">SUM(L97:L102)</f>
        <v>128.82224000000002</v>
      </c>
      <c r="M103" s="856">
        <f t="shared" si="14"/>
        <v>33.748649999999998</v>
      </c>
      <c r="N103" s="856">
        <f t="shared" si="14"/>
        <v>31.077170000000002</v>
      </c>
      <c r="O103" s="856">
        <f t="shared" si="14"/>
        <v>0</v>
      </c>
      <c r="P103" s="856">
        <f t="shared" si="14"/>
        <v>0</v>
      </c>
      <c r="Q103" s="856">
        <f t="shared" si="14"/>
        <v>0</v>
      </c>
      <c r="S103" s="1190">
        <f>(M103+N103)/J102</f>
        <v>1.0804303333333332</v>
      </c>
      <c r="T103" s="805"/>
    </row>
    <row r="104" spans="1:21" ht="16.5" thickTop="1"/>
    <row r="105" spans="1:21" s="978" customFormat="1">
      <c r="A105" s="1572" t="s">
        <v>3982</v>
      </c>
      <c r="B105" s="1405" t="s">
        <v>793</v>
      </c>
      <c r="C105" s="1405" t="s">
        <v>4028</v>
      </c>
      <c r="D105" s="1405" t="str">
        <f>VLOOKUP(G105,'Baumaterialien Matériaux'!$A$10:$AD$434,30,FALSE)</f>
        <v>Tuiles en béton</v>
      </c>
      <c r="E105" s="1405"/>
      <c r="F105" s="1405" t="str">
        <f>VLOOKUP(G105,'Baumaterialien Matériaux'!$A$10:$AD$434,7,FALSE)</f>
        <v>kg</v>
      </c>
      <c r="G105" s="1405" t="s">
        <v>1277</v>
      </c>
      <c r="H105" s="1405">
        <f>2300*0.04*0.4</f>
        <v>36.800000000000004</v>
      </c>
      <c r="I105" s="1405"/>
      <c r="J105" s="1568">
        <v>60</v>
      </c>
      <c r="K105" s="1586">
        <f>$H105*_xlfn.XLOOKUP($G105,'Baumaterialien Matériaux'!$A:$A,'Baumaterialien Matériaux'!V:V,0,0)</f>
        <v>15.308800000000002</v>
      </c>
      <c r="L105" s="1586">
        <f>$H105*_xlfn.XLOOKUP($G105,'Baumaterialien Matériaux'!$A:$A,'Baumaterialien Matériaux'!Y:Y,0,0)</f>
        <v>1.9356800000000003</v>
      </c>
      <c r="M105" s="1586">
        <f>$H105*_xlfn.XLOOKUP($G105,'Baumaterialien Matériaux'!$A:$A,'Baumaterialien Matériaux'!AA:AA,0,0)</f>
        <v>7.2128000000000014</v>
      </c>
      <c r="N105" s="1586">
        <f>$H105*_xlfn.XLOOKUP($G105,'Baumaterialien Matériaux'!$A:$A,'Baumaterialien Matériaux'!AB:AB,0,0)</f>
        <v>0.46736000000000005</v>
      </c>
      <c r="O105" s="1586">
        <f>$H105*_xlfn.XLOOKUP($G105,'Baumaterialien Matériaux'!$A:$A,'Baumaterialien Matériaux'!AC:AC,0,0)*44/12</f>
        <v>0</v>
      </c>
      <c r="P105" s="1586">
        <f>$H105*_xlfn.XLOOKUP($G105,'Baumaterialien Matériaux'!$A:$A,'Baumaterialien Matériaux'!AG:AG,0,0)</f>
        <v>0</v>
      </c>
      <c r="Q105" s="1586">
        <f>$H105*_xlfn.XLOOKUP($G105,'Baumaterialien Matériaux'!$A:$A,'Baumaterialien Matériaux'!AH:AH,0,0)</f>
        <v>0</v>
      </c>
      <c r="S105" s="133"/>
      <c r="T105" s="1911"/>
    </row>
    <row r="106" spans="1:21" s="1405" customFormat="1">
      <c r="A106" s="258"/>
      <c r="B106" s="1571" t="s">
        <v>3998</v>
      </c>
      <c r="C106" s="1570"/>
      <c r="D106" s="1570" t="str">
        <f>VLOOKUP(G106,'Baumaterialien Matériaux'!$A$10:$AD$434,30,FALSE)</f>
        <v>Sable 1</v>
      </c>
      <c r="E106" s="1570"/>
      <c r="F106" s="1570" t="str">
        <f>VLOOKUP(G106,'Baumaterialien Matériaux'!$A$10:$AD$434,7,FALSE)</f>
        <v>kg</v>
      </c>
      <c r="G106" s="1358" t="s">
        <v>758</v>
      </c>
      <c r="H106" s="1405">
        <f>1500*5/100*0.04</f>
        <v>3</v>
      </c>
      <c r="J106" s="1568">
        <v>60</v>
      </c>
      <c r="K106" s="1586">
        <f>$H106*_xlfn.XLOOKUP($G106,'Baumaterialien Matériaux'!$A:$A,'Baumaterialien Matériaux'!V:V,0,0)</f>
        <v>4.6799999999999994E-2</v>
      </c>
      <c r="L106" s="1586">
        <f>$H106*_xlfn.XLOOKUP($G106,'Baumaterialien Matériaux'!$A:$A,'Baumaterialien Matériaux'!Y:Y,0,0)</f>
        <v>0.1578</v>
      </c>
      <c r="M106" s="1587">
        <f>$H106*_xlfn.XLOOKUP($G106,'Baumaterialien Matériaux'!$A:$A,'Baumaterialien Matériaux'!AA:AA,0,0)</f>
        <v>9.1500000000000001E-3</v>
      </c>
      <c r="N106" s="1587">
        <f>$H106*_xlfn.XLOOKUP($G106,'Baumaterialien Matériaux'!$A:$A,'Baumaterialien Matériaux'!AB:AB,0,0)</f>
        <v>3.78E-2</v>
      </c>
      <c r="O106" s="1586">
        <f>$H106*_xlfn.XLOOKUP($G106,'Baumaterialien Matériaux'!$A:$A,'Baumaterialien Matériaux'!AC:AC,0,0)*44/12</f>
        <v>0</v>
      </c>
      <c r="P106" s="1586">
        <f>$H106*_xlfn.XLOOKUP($G106,'Baumaterialien Matériaux'!$A:$A,'Baumaterialien Matériaux'!AG:AG,0,0)</f>
        <v>0</v>
      </c>
      <c r="Q106" s="1586">
        <f>$H106*_xlfn.XLOOKUP($G106,'Baumaterialien Matériaux'!$A:$A,'Baumaterialien Matériaux'!AH:AH,0,0)</f>
        <v>0</v>
      </c>
      <c r="T106" s="1911"/>
      <c r="U106" s="1571"/>
    </row>
    <row r="107" spans="1:21">
      <c r="A107" s="258"/>
      <c r="B107" s="1571" t="s">
        <v>3978</v>
      </c>
      <c r="C107" s="1405" t="s">
        <v>4022</v>
      </c>
      <c r="D107" s="1405" t="str">
        <f>VLOOKUP(G107,'Baumaterialien Matériaux'!$A$10:$AD$434,30,FALSE)</f>
        <v>Gravier concassé 1</v>
      </c>
      <c r="E107" s="1405"/>
      <c r="F107" s="1405" t="str">
        <f>VLOOKUP(G107,'Baumaterialien Matériaux'!$A$10:$AD$434,7,FALSE)</f>
        <v>kg</v>
      </c>
      <c r="G107" s="1405" t="s">
        <v>816</v>
      </c>
      <c r="H107" s="1405">
        <f>1500*0.03</f>
        <v>45</v>
      </c>
      <c r="I107" s="1405"/>
      <c r="J107" s="1568">
        <v>60</v>
      </c>
      <c r="K107" s="1586">
        <f>$H107*_xlfn.XLOOKUP($G107,'Baumaterialien Matériaux'!$A:$A,'Baumaterialien Matériaux'!V:V,0,0)</f>
        <v>1.4444999999999999</v>
      </c>
      <c r="L107" s="1586">
        <f>$H107*_xlfn.XLOOKUP($G107,'Baumaterialien Matériaux'!$A:$A,'Baumaterialien Matériaux'!Y:Y,0,0)</f>
        <v>2.367</v>
      </c>
      <c r="M107" s="1586">
        <f>$H107*_xlfn.XLOOKUP($G107,'Baumaterialien Matériaux'!$A:$A,'Baumaterialien Matériaux'!AA:AA,0,0)</f>
        <v>0.22544999999999998</v>
      </c>
      <c r="N107" s="1586">
        <f>$H107*_xlfn.XLOOKUP($G107,'Baumaterialien Matériaux'!$A:$A,'Baumaterialien Matériaux'!AB:AB,0,0)</f>
        <v>0.56699999999999995</v>
      </c>
      <c r="O107" s="1586">
        <f>$H107*_xlfn.XLOOKUP($G107,'Baumaterialien Matériaux'!$A:$A,'Baumaterialien Matériaux'!AC:AC,0,0)*44/12</f>
        <v>0</v>
      </c>
      <c r="P107" s="1586">
        <f>$H107*_xlfn.XLOOKUP($G107,'Baumaterialien Matériaux'!$A:$A,'Baumaterialien Matériaux'!AG:AG,0,0)</f>
        <v>0</v>
      </c>
      <c r="Q107" s="1586">
        <f>$H107*_xlfn.XLOOKUP($G107,'Baumaterialien Matériaux'!$A:$A,'Baumaterialien Matériaux'!AH:AH,0,0)</f>
        <v>0</v>
      </c>
      <c r="S107" s="133"/>
      <c r="T107" s="1911"/>
    </row>
    <row r="108" spans="1:21">
      <c r="A108" s="258"/>
      <c r="B108" s="1571" t="s">
        <v>3979</v>
      </c>
      <c r="C108" s="1405" t="s">
        <v>4021</v>
      </c>
      <c r="D108" s="1405" t="str">
        <f>VLOOKUP(G108,'Baumaterialien Matériaux'!$A$10:$AD$434,30,FALSE)</f>
        <v>Gravier concassé 1</v>
      </c>
      <c r="E108" s="1405"/>
      <c r="F108" s="1405" t="str">
        <f>VLOOKUP(G108,'Baumaterialien Matériaux'!$A$10:$AD$434,7,FALSE)</f>
        <v>kg</v>
      </c>
      <c r="G108" s="1405" t="s">
        <v>816</v>
      </c>
      <c r="H108" s="1405">
        <f>1500*0.2</f>
        <v>300</v>
      </c>
      <c r="I108" s="1405"/>
      <c r="J108" s="1568">
        <v>60</v>
      </c>
      <c r="K108" s="1586">
        <f>$H108*_xlfn.XLOOKUP($G108,'Baumaterialien Matériaux'!$A:$A,'Baumaterialien Matériaux'!V:V,0,0)</f>
        <v>9.629999999999999</v>
      </c>
      <c r="L108" s="1586">
        <f>$H108*_xlfn.XLOOKUP($G108,'Baumaterialien Matériaux'!$A:$A,'Baumaterialien Matériaux'!Y:Y,0,0)</f>
        <v>15.780000000000001</v>
      </c>
      <c r="M108" s="1586">
        <f>$H108*_xlfn.XLOOKUP($G108,'Baumaterialien Matériaux'!$A:$A,'Baumaterialien Matériaux'!AA:AA,0,0)</f>
        <v>1.5029999999999999</v>
      </c>
      <c r="N108" s="1586">
        <f>$H108*_xlfn.XLOOKUP($G108,'Baumaterialien Matériaux'!$A:$A,'Baumaterialien Matériaux'!AB:AB,0,0)</f>
        <v>3.7800000000000002</v>
      </c>
      <c r="O108" s="1586">
        <f>$H108*_xlfn.XLOOKUP($G108,'Baumaterialien Matériaux'!$A:$A,'Baumaterialien Matériaux'!AC:AC,0,0)*44/12</f>
        <v>0</v>
      </c>
      <c r="P108" s="1586">
        <f>$H108*_xlfn.XLOOKUP($G108,'Baumaterialien Matériaux'!$A:$A,'Baumaterialien Matériaux'!AG:AG,0,0)</f>
        <v>0</v>
      </c>
      <c r="Q108" s="1586">
        <f>$H108*_xlfn.XLOOKUP($G108,'Baumaterialien Matériaux'!$A:$A,'Baumaterialien Matériaux'!AH:AH,0,0)</f>
        <v>0</v>
      </c>
      <c r="S108" s="133"/>
      <c r="T108" s="1911"/>
    </row>
    <row r="109" spans="1:21">
      <c r="A109" s="258"/>
      <c r="B109" s="1571" t="s">
        <v>3999</v>
      </c>
      <c r="C109" s="1405" t="s">
        <v>4016</v>
      </c>
      <c r="D109" s="1405" t="str">
        <f>VLOOKUP(G109,'Transporte Transports'!$A$10:$AD$432,27,FALSE)</f>
        <v>Excavations mécaniques, en moyenne</v>
      </c>
      <c r="E109" s="1405"/>
      <c r="F109" s="1405" t="str">
        <f>VLOOKUP(G109,'Transporte Transports'!$A$10:$AD$432,5,FALSE)</f>
        <v>m3</v>
      </c>
      <c r="G109" s="1405" t="s">
        <v>519</v>
      </c>
      <c r="H109" s="1405">
        <v>0.6</v>
      </c>
      <c r="I109" s="1405"/>
      <c r="J109" s="1568">
        <v>60</v>
      </c>
      <c r="K109" s="1586">
        <f>$H109*_xlfn.XLOOKUP($G109,'Transporte Transports'!$A:$A,'Transporte Transports'!R:R,0,0)</f>
        <v>0.98399999999999987</v>
      </c>
      <c r="L109" s="1586"/>
      <c r="M109" s="1569">
        <f>$H109*_xlfn.XLOOKUP($G109,'Transporte Transports'!$A:$A,'Transporte Transports'!V:V,0,0)</f>
        <v>0.25979999999999998</v>
      </c>
      <c r="N109" s="1569"/>
      <c r="O109" s="1586"/>
      <c r="P109" s="1586"/>
      <c r="Q109" s="1586"/>
      <c r="S109" s="133"/>
      <c r="T109" s="1912"/>
    </row>
    <row r="110" spans="1:21" ht="16.5" thickBot="1">
      <c r="A110" s="856"/>
      <c r="B110" s="856"/>
      <c r="C110" s="856"/>
      <c r="D110" s="856"/>
      <c r="E110" s="856"/>
      <c r="F110" s="856"/>
      <c r="G110" s="856"/>
      <c r="H110" s="856"/>
      <c r="I110" s="856"/>
      <c r="J110" s="856"/>
      <c r="K110" s="856">
        <f t="shared" ref="K110:Q110" si="15">SUM(K105:K109)</f>
        <v>27.414099999999998</v>
      </c>
      <c r="L110" s="856">
        <f t="shared" si="15"/>
        <v>20.240480000000002</v>
      </c>
      <c r="M110" s="856">
        <f t="shared" si="15"/>
        <v>9.2102000000000022</v>
      </c>
      <c r="N110" s="856">
        <f t="shared" si="15"/>
        <v>4.8521600000000005</v>
      </c>
      <c r="O110" s="856">
        <f t="shared" si="15"/>
        <v>0</v>
      </c>
      <c r="P110" s="856">
        <f t="shared" si="15"/>
        <v>0</v>
      </c>
      <c r="Q110" s="856">
        <f t="shared" si="15"/>
        <v>0</v>
      </c>
      <c r="S110" s="1190">
        <f>(M110+N110)/J109</f>
        <v>0.2343726666666667</v>
      </c>
      <c r="T110" s="805"/>
    </row>
    <row r="111" spans="1:21" ht="16.5" thickTop="1"/>
    <row r="112" spans="1:21" s="978" customFormat="1">
      <c r="A112" s="1572" t="s">
        <v>4043</v>
      </c>
      <c r="B112" s="1405" t="s">
        <v>4029</v>
      </c>
      <c r="C112" s="1405" t="s">
        <v>4020</v>
      </c>
      <c r="D112" s="1405" t="str">
        <f>VLOOKUP(G112,'Baumaterialien Matériaux'!$A$10:$AD$434,30,FALSE)</f>
        <v>Dalle en pierre naturelle rectifiée, 15 mm</v>
      </c>
      <c r="E112" s="1405"/>
      <c r="F112" s="1405" t="str">
        <f>VLOOKUP(G112,'Baumaterialien Matériaux'!$A$10:$AD$434,7,FALSE)</f>
        <v>m2</v>
      </c>
      <c r="G112" s="1405" t="s">
        <v>2237</v>
      </c>
      <c r="H112" s="1405">
        <f>4/1.5</f>
        <v>2.6666666666666665</v>
      </c>
      <c r="I112" s="1405"/>
      <c r="J112" s="1568">
        <v>60</v>
      </c>
      <c r="K112" s="1586">
        <f>$H112*_xlfn.XLOOKUP($G112,'Baumaterialien Matériaux'!$A:$A,'Baumaterialien Matériaux'!V:V,0,0)</f>
        <v>309.33333333333331</v>
      </c>
      <c r="L112" s="1586">
        <f>$H112*_xlfn.XLOOKUP($G112,'Baumaterialien Matériaux'!$A:$A,'Baumaterialien Matériaux'!Y:Y,0,0)</f>
        <v>5.68</v>
      </c>
      <c r="M112" s="1586">
        <f>$H112*_xlfn.XLOOKUP($G112,'Baumaterialien Matériaux'!$A:$A,'Baumaterialien Matériaux'!AA:AA,0,0)</f>
        <v>43.466666666666669</v>
      </c>
      <c r="N112" s="1586">
        <f>$H112*_xlfn.XLOOKUP($G112,'Baumaterialien Matériaux'!$A:$A,'Baumaterialien Matériaux'!AB:AB,0,0)</f>
        <v>1.3706666666666667</v>
      </c>
      <c r="O112" s="1586">
        <f>$H112*_xlfn.XLOOKUP($G112,'Baumaterialien Matériaux'!$A:$A,'Baumaterialien Matériaux'!AC:AC,0,0)*44/12</f>
        <v>0</v>
      </c>
      <c r="P112" s="1586">
        <f>$H112*_xlfn.XLOOKUP($G112,'Baumaterialien Matériaux'!$A:$A,'Baumaterialien Matériaux'!AG:AG,0,0)</f>
        <v>0</v>
      </c>
      <c r="Q112" s="1586">
        <f>$H112*_xlfn.XLOOKUP($G112,'Baumaterialien Matériaux'!$A:$A,'Baumaterialien Matériaux'!AH:AH,0,0)</f>
        <v>0</v>
      </c>
      <c r="S112" s="133"/>
      <c r="T112" s="1911"/>
    </row>
    <row r="113" spans="1:23" s="1405" customFormat="1">
      <c r="A113" s="258"/>
      <c r="B113" s="1571" t="s">
        <v>3998</v>
      </c>
      <c r="C113" s="1570"/>
      <c r="D113" s="1570" t="str">
        <f>VLOOKUP(G113,'Baumaterialien Matériaux'!$A$10:$AD$434,30,FALSE)</f>
        <v>Sable 1</v>
      </c>
      <c r="E113" s="1570"/>
      <c r="F113" s="1570" t="str">
        <f>VLOOKUP(G113,'Baumaterialien Matériaux'!$A$10:$AD$434,7,FALSE)</f>
        <v>kg</v>
      </c>
      <c r="G113" s="1358" t="s">
        <v>758</v>
      </c>
      <c r="H113" s="1405">
        <f>1500*5/100*0.04</f>
        <v>3</v>
      </c>
      <c r="J113" s="1568">
        <v>60</v>
      </c>
      <c r="K113" s="1586">
        <f>$H113*_xlfn.XLOOKUP($G113,'Baumaterialien Matériaux'!$A:$A,'Baumaterialien Matériaux'!V:V,0,0)</f>
        <v>4.6799999999999994E-2</v>
      </c>
      <c r="L113" s="1586">
        <f>$H113*_xlfn.XLOOKUP($G113,'Baumaterialien Matériaux'!$A:$A,'Baumaterialien Matériaux'!Y:Y,0,0)</f>
        <v>0.1578</v>
      </c>
      <c r="M113" s="1587">
        <f>$H113*_xlfn.XLOOKUP($G113,'Baumaterialien Matériaux'!$A:$A,'Baumaterialien Matériaux'!AA:AA,0,0)</f>
        <v>9.1500000000000001E-3</v>
      </c>
      <c r="N113" s="1587">
        <f>$H113*_xlfn.XLOOKUP($G113,'Baumaterialien Matériaux'!$A:$A,'Baumaterialien Matériaux'!AB:AB,0,0)</f>
        <v>3.78E-2</v>
      </c>
      <c r="O113" s="1586">
        <f>$H113*_xlfn.XLOOKUP($G113,'Baumaterialien Matériaux'!$A:$A,'Baumaterialien Matériaux'!AC:AC,0,0)*44/12</f>
        <v>0</v>
      </c>
      <c r="P113" s="1586">
        <f>$H113*_xlfn.XLOOKUP($G113,'Baumaterialien Matériaux'!$A:$A,'Baumaterialien Matériaux'!AG:AG,0,0)</f>
        <v>0</v>
      </c>
      <c r="Q113" s="1586">
        <f>$H113*_xlfn.XLOOKUP($G113,'Baumaterialien Matériaux'!$A:$A,'Baumaterialien Matériaux'!AH:AH,0,0)</f>
        <v>0</v>
      </c>
      <c r="T113" s="1911"/>
      <c r="U113" s="1571"/>
    </row>
    <row r="114" spans="1:23">
      <c r="A114" s="258"/>
      <c r="B114" s="1571" t="s">
        <v>3978</v>
      </c>
      <c r="C114" s="1405" t="s">
        <v>4022</v>
      </c>
      <c r="D114" s="1405" t="str">
        <f>VLOOKUP(G114,'Baumaterialien Matériaux'!$A$10:$AD$434,30,FALSE)</f>
        <v>Gravier concassé 1</v>
      </c>
      <c r="E114" s="1405"/>
      <c r="F114" s="1405" t="str">
        <f>VLOOKUP(G114,'Baumaterialien Matériaux'!$A$10:$AD$434,7,FALSE)</f>
        <v>kg</v>
      </c>
      <c r="G114" s="1405" t="s">
        <v>816</v>
      </c>
      <c r="H114" s="1405">
        <f>1500*0.03</f>
        <v>45</v>
      </c>
      <c r="I114" s="1405"/>
      <c r="J114" s="1568">
        <v>60</v>
      </c>
      <c r="K114" s="1586">
        <f>$H114*_xlfn.XLOOKUP($G114,'Baumaterialien Matériaux'!$A:$A,'Baumaterialien Matériaux'!V:V,0,0)</f>
        <v>1.4444999999999999</v>
      </c>
      <c r="L114" s="1586">
        <f>$H114*_xlfn.XLOOKUP($G114,'Baumaterialien Matériaux'!$A:$A,'Baumaterialien Matériaux'!Y:Y,0,0)</f>
        <v>2.367</v>
      </c>
      <c r="M114" s="1586">
        <f>$H114*_xlfn.XLOOKUP($G114,'Baumaterialien Matériaux'!$A:$A,'Baumaterialien Matériaux'!AA:AA,0,0)</f>
        <v>0.22544999999999998</v>
      </c>
      <c r="N114" s="1586">
        <f>$H114*_xlfn.XLOOKUP($G114,'Baumaterialien Matériaux'!$A:$A,'Baumaterialien Matériaux'!AB:AB,0,0)</f>
        <v>0.56699999999999995</v>
      </c>
      <c r="O114" s="1586">
        <f>$H114*_xlfn.XLOOKUP($G114,'Baumaterialien Matériaux'!$A:$A,'Baumaterialien Matériaux'!AC:AC,0,0)*44/12</f>
        <v>0</v>
      </c>
      <c r="P114" s="1586">
        <f>$H114*_xlfn.XLOOKUP($G114,'Baumaterialien Matériaux'!$A:$A,'Baumaterialien Matériaux'!AG:AG,0,0)</f>
        <v>0</v>
      </c>
      <c r="Q114" s="1586">
        <f>$H114*_xlfn.XLOOKUP($G114,'Baumaterialien Matériaux'!$A:$A,'Baumaterialien Matériaux'!AH:AH,0,0)</f>
        <v>0</v>
      </c>
      <c r="S114" s="133"/>
      <c r="T114" s="1911"/>
    </row>
    <row r="115" spans="1:23">
      <c r="A115" s="258"/>
      <c r="B115" s="1571" t="s">
        <v>3979</v>
      </c>
      <c r="C115" s="1405" t="s">
        <v>4021</v>
      </c>
      <c r="D115" s="1405" t="str">
        <f>VLOOKUP(G115,'Baumaterialien Matériaux'!$A$10:$AD$434,30,FALSE)</f>
        <v>Gravier concassé 1</v>
      </c>
      <c r="E115" s="1405"/>
      <c r="F115" s="1405" t="str">
        <f>VLOOKUP(G115,'Baumaterialien Matériaux'!$A$10:$AD$434,7,FALSE)</f>
        <v>kg</v>
      </c>
      <c r="G115" s="1405" t="s">
        <v>816</v>
      </c>
      <c r="H115" s="1405">
        <f>1500*0.2</f>
        <v>300</v>
      </c>
      <c r="I115" s="1405"/>
      <c r="J115" s="1568">
        <v>60</v>
      </c>
      <c r="K115" s="1586">
        <f>$H115*_xlfn.XLOOKUP($G115,'Baumaterialien Matériaux'!$A:$A,'Baumaterialien Matériaux'!V:V,0,0)</f>
        <v>9.629999999999999</v>
      </c>
      <c r="L115" s="1586">
        <f>$H115*_xlfn.XLOOKUP($G115,'Baumaterialien Matériaux'!$A:$A,'Baumaterialien Matériaux'!Y:Y,0,0)</f>
        <v>15.780000000000001</v>
      </c>
      <c r="M115" s="1586">
        <f>$H115*_xlfn.XLOOKUP($G115,'Baumaterialien Matériaux'!$A:$A,'Baumaterialien Matériaux'!AA:AA,0,0)</f>
        <v>1.5029999999999999</v>
      </c>
      <c r="N115" s="1586">
        <f>$H115*_xlfn.XLOOKUP($G115,'Baumaterialien Matériaux'!$A:$A,'Baumaterialien Matériaux'!AB:AB,0,0)</f>
        <v>3.7800000000000002</v>
      </c>
      <c r="O115" s="1586">
        <f>$H115*_xlfn.XLOOKUP($G115,'Baumaterialien Matériaux'!$A:$A,'Baumaterialien Matériaux'!AC:AC,0,0)*44/12</f>
        <v>0</v>
      </c>
      <c r="P115" s="1586">
        <f>$H115*_xlfn.XLOOKUP($G115,'Baumaterialien Matériaux'!$A:$A,'Baumaterialien Matériaux'!AG:AG,0,0)</f>
        <v>0</v>
      </c>
      <c r="Q115" s="1586">
        <f>$H115*_xlfn.XLOOKUP($G115,'Baumaterialien Matériaux'!$A:$A,'Baumaterialien Matériaux'!AH:AH,0,0)</f>
        <v>0</v>
      </c>
      <c r="S115" s="133"/>
      <c r="T115" s="1911"/>
    </row>
    <row r="116" spans="1:23">
      <c r="A116" s="258"/>
      <c r="B116" s="1571" t="s">
        <v>3999</v>
      </c>
      <c r="C116" s="1405" t="s">
        <v>4016</v>
      </c>
      <c r="D116" s="1405" t="str">
        <f>VLOOKUP(G116,'Transporte Transports'!$A$10:$AD$432,27,FALSE)</f>
        <v>Excavations mécaniques, en moyenne</v>
      </c>
      <c r="E116" s="1405"/>
      <c r="F116" s="1405" t="str">
        <f>VLOOKUP(G116,'Transporte Transports'!$A$10:$AD$432,5,FALSE)</f>
        <v>m3</v>
      </c>
      <c r="G116" s="1405" t="s">
        <v>519</v>
      </c>
      <c r="H116" s="1405">
        <v>0.6</v>
      </c>
      <c r="I116" s="1405"/>
      <c r="J116" s="1568">
        <v>60</v>
      </c>
      <c r="K116" s="1586">
        <f>$H116*_xlfn.XLOOKUP($G116,'Transporte Transports'!$A:$A,'Transporte Transports'!R:R,0,0)</f>
        <v>0.98399999999999987</v>
      </c>
      <c r="L116" s="1586"/>
      <c r="M116" s="1569">
        <f>$H116*_xlfn.XLOOKUP($G116,'Transporte Transports'!$A:$A,'Transporte Transports'!V:V,0,0)</f>
        <v>0.25979999999999998</v>
      </c>
      <c r="N116" s="1569"/>
      <c r="O116" s="1586"/>
      <c r="P116" s="1586"/>
      <c r="Q116" s="1586"/>
      <c r="S116" s="133"/>
      <c r="T116" s="1912"/>
    </row>
    <row r="117" spans="1:23" ht="16.5" thickBot="1">
      <c r="A117" s="856"/>
      <c r="B117" s="856"/>
      <c r="C117" s="856"/>
      <c r="D117" s="856"/>
      <c r="E117" s="856"/>
      <c r="F117" s="856"/>
      <c r="G117" s="856"/>
      <c r="H117" s="856"/>
      <c r="I117" s="856"/>
      <c r="J117" s="856"/>
      <c r="K117" s="856">
        <f>SUM(K112:K116)</f>
        <v>321.43863333333331</v>
      </c>
      <c r="L117" s="856">
        <f t="shared" ref="L117:Q117" si="16">SUM(L112:L116)</f>
        <v>23.9848</v>
      </c>
      <c r="M117" s="856">
        <f t="shared" si="16"/>
        <v>45.464066666666668</v>
      </c>
      <c r="N117" s="856">
        <f t="shared" si="16"/>
        <v>5.755466666666667</v>
      </c>
      <c r="O117" s="856">
        <f t="shared" si="16"/>
        <v>0</v>
      </c>
      <c r="P117" s="856">
        <f t="shared" si="16"/>
        <v>0</v>
      </c>
      <c r="Q117" s="856">
        <f t="shared" si="16"/>
        <v>0</v>
      </c>
      <c r="S117" s="1190">
        <f>(M117+N117)/J116</f>
        <v>0.85365888888888886</v>
      </c>
      <c r="T117" s="805"/>
      <c r="V117" s="1588"/>
    </row>
    <row r="118" spans="1:23" ht="16.5" thickTop="1">
      <c r="W118" s="1299"/>
    </row>
    <row r="119" spans="1:23" s="978" customFormat="1">
      <c r="A119" s="1572" t="s">
        <v>4044</v>
      </c>
      <c r="B119" s="1405" t="s">
        <v>4029</v>
      </c>
      <c r="C119" s="1405" t="s">
        <v>4020</v>
      </c>
      <c r="D119" s="1405" t="e">
        <f>VLOOKUP(G119,'Baumaterialien Matériaux'!$A$10:$AD$434,30,FALSE)</f>
        <v>#N/A</v>
      </c>
      <c r="E119" s="1405"/>
      <c r="F119" s="1405" t="e">
        <f>VLOOKUP(G119,'Baumaterialien Matériaux'!$A$10:$AD$434,7,FALSE)</f>
        <v>#N/A</v>
      </c>
      <c r="G119" s="1405" t="s">
        <v>4045</v>
      </c>
      <c r="H119" s="1405">
        <f>2500*0.04</f>
        <v>100</v>
      </c>
      <c r="I119" s="1405"/>
      <c r="J119" s="1568">
        <v>60</v>
      </c>
      <c r="K119" s="1586">
        <f>$H119*_xlfn.XLOOKUP($G119,'Baumaterialien Matériaux'!$A:$A,'Baumaterialien Matériaux'!V:V,0,0)</f>
        <v>0</v>
      </c>
      <c r="L119" s="1586">
        <f>$H119*_xlfn.XLOOKUP($G119,'Baumaterialien Matériaux'!$A:$A,'Baumaterialien Matériaux'!Y:Y,0,0)</f>
        <v>0</v>
      </c>
      <c r="M119" s="1586">
        <f>$H119*_xlfn.XLOOKUP($G119,'Baumaterialien Matériaux'!$A:$A,'Baumaterialien Matériaux'!AA:AA,0,0)</f>
        <v>0</v>
      </c>
      <c r="N119" s="1586">
        <f>$H119*_xlfn.XLOOKUP($G119,'Baumaterialien Matériaux'!$A:$A,'Baumaterialien Matériaux'!AB:AB,0,0)</f>
        <v>0</v>
      </c>
      <c r="O119" s="1586">
        <f>$H119*_xlfn.XLOOKUP($G119,'Baumaterialien Matériaux'!$A:$A,'Baumaterialien Matériaux'!AC:AC,0,0)*44/12</f>
        <v>0</v>
      </c>
      <c r="P119" s="1586">
        <f>$H119*_xlfn.XLOOKUP($G119,'Baumaterialien Matériaux'!$A:$A,'Baumaterialien Matériaux'!AG:AG,0,0)</f>
        <v>0</v>
      </c>
      <c r="Q119" s="1586">
        <f>$H119*_xlfn.XLOOKUP($G119,'Baumaterialien Matériaux'!$A:$A,'Baumaterialien Matériaux'!AH:AH,0,0)</f>
        <v>0</v>
      </c>
      <c r="S119" s="133"/>
      <c r="T119" s="1911"/>
    </row>
    <row r="120" spans="1:23" s="1405" customFormat="1">
      <c r="A120" s="258"/>
      <c r="B120" s="1571" t="s">
        <v>3998</v>
      </c>
      <c r="C120" s="1570"/>
      <c r="D120" s="1570" t="str">
        <f>VLOOKUP(G120,'Baumaterialien Matériaux'!$A$10:$AD$434,30,FALSE)</f>
        <v>Sable 1</v>
      </c>
      <c r="E120" s="1570"/>
      <c r="F120" s="1570" t="str">
        <f>VLOOKUP(G120,'Baumaterialien Matériaux'!$A$10:$AD$434,7,FALSE)</f>
        <v>kg</v>
      </c>
      <c r="G120" s="1358" t="s">
        <v>758</v>
      </c>
      <c r="H120" s="1405">
        <f>1500*5/100*0.04</f>
        <v>3</v>
      </c>
      <c r="J120" s="1568">
        <v>60</v>
      </c>
      <c r="K120" s="1586">
        <f>$H120*_xlfn.XLOOKUP($G120,'Baumaterialien Matériaux'!$A:$A,'Baumaterialien Matériaux'!V:V,0,0)</f>
        <v>4.6799999999999994E-2</v>
      </c>
      <c r="L120" s="1586">
        <f>$H120*_xlfn.XLOOKUP($G120,'Baumaterialien Matériaux'!$A:$A,'Baumaterialien Matériaux'!Y:Y,0,0)</f>
        <v>0.1578</v>
      </c>
      <c r="M120" s="1587">
        <f>$H120*_xlfn.XLOOKUP($G120,'Baumaterialien Matériaux'!$A:$A,'Baumaterialien Matériaux'!AA:AA,0,0)</f>
        <v>9.1500000000000001E-3</v>
      </c>
      <c r="N120" s="1587">
        <f>$H120*_xlfn.XLOOKUP($G120,'Baumaterialien Matériaux'!$A:$A,'Baumaterialien Matériaux'!AB:AB,0,0)</f>
        <v>3.78E-2</v>
      </c>
      <c r="O120" s="1586">
        <f>$H120*_xlfn.XLOOKUP($G120,'Baumaterialien Matériaux'!$A:$A,'Baumaterialien Matériaux'!AC:AC,0,0)*44/12</f>
        <v>0</v>
      </c>
      <c r="P120" s="1586">
        <f>$H120*_xlfn.XLOOKUP($G120,'Baumaterialien Matériaux'!$A:$A,'Baumaterialien Matériaux'!AG:AG,0,0)</f>
        <v>0</v>
      </c>
      <c r="Q120" s="1586">
        <f>$H120*_xlfn.XLOOKUP($G120,'Baumaterialien Matériaux'!$A:$A,'Baumaterialien Matériaux'!AH:AH,0,0)</f>
        <v>0</v>
      </c>
      <c r="T120" s="1911"/>
      <c r="U120" s="1571"/>
    </row>
    <row r="121" spans="1:23">
      <c r="A121" s="258"/>
      <c r="B121" s="1571" t="s">
        <v>3978</v>
      </c>
      <c r="C121" s="1405" t="s">
        <v>4022</v>
      </c>
      <c r="D121" s="1405" t="str">
        <f>VLOOKUP(G121,'Baumaterialien Matériaux'!$A$10:$AD$434,30,FALSE)</f>
        <v>Gravier concassé 1</v>
      </c>
      <c r="E121" s="1405"/>
      <c r="F121" s="1405" t="str">
        <f>VLOOKUP(G121,'Baumaterialien Matériaux'!$A$10:$AD$434,7,FALSE)</f>
        <v>kg</v>
      </c>
      <c r="G121" s="1405" t="s">
        <v>816</v>
      </c>
      <c r="H121" s="1405">
        <f>1500*0.03</f>
        <v>45</v>
      </c>
      <c r="I121" s="1405"/>
      <c r="J121" s="1568">
        <v>60</v>
      </c>
      <c r="K121" s="1586">
        <f>$H121*_xlfn.XLOOKUP($G121,'Baumaterialien Matériaux'!$A:$A,'Baumaterialien Matériaux'!V:V,0,0)</f>
        <v>1.4444999999999999</v>
      </c>
      <c r="L121" s="1586">
        <f>$H121*_xlfn.XLOOKUP($G121,'Baumaterialien Matériaux'!$A:$A,'Baumaterialien Matériaux'!Y:Y,0,0)</f>
        <v>2.367</v>
      </c>
      <c r="M121" s="1586">
        <f>$H121*_xlfn.XLOOKUP($G121,'Baumaterialien Matériaux'!$A:$A,'Baumaterialien Matériaux'!AA:AA,0,0)</f>
        <v>0.22544999999999998</v>
      </c>
      <c r="N121" s="1586">
        <f>$H121*_xlfn.XLOOKUP($G121,'Baumaterialien Matériaux'!$A:$A,'Baumaterialien Matériaux'!AB:AB,0,0)</f>
        <v>0.56699999999999995</v>
      </c>
      <c r="O121" s="1586">
        <f>$H121*_xlfn.XLOOKUP($G121,'Baumaterialien Matériaux'!$A:$A,'Baumaterialien Matériaux'!AC:AC,0,0)*44/12</f>
        <v>0</v>
      </c>
      <c r="P121" s="1586">
        <f>$H121*_xlfn.XLOOKUP($G121,'Baumaterialien Matériaux'!$A:$A,'Baumaterialien Matériaux'!AG:AG,0,0)</f>
        <v>0</v>
      </c>
      <c r="Q121" s="1586">
        <f>$H121*_xlfn.XLOOKUP($G121,'Baumaterialien Matériaux'!$A:$A,'Baumaterialien Matériaux'!AH:AH,0,0)</f>
        <v>0</v>
      </c>
      <c r="S121" s="133"/>
      <c r="T121" s="1911"/>
    </row>
    <row r="122" spans="1:23">
      <c r="A122" s="258"/>
      <c r="B122" s="1571" t="s">
        <v>3979</v>
      </c>
      <c r="C122" s="1405" t="s">
        <v>4021</v>
      </c>
      <c r="D122" s="1405" t="str">
        <f>VLOOKUP(G122,'Baumaterialien Matériaux'!$A$10:$AD$434,30,FALSE)</f>
        <v>Gravier concassé 1</v>
      </c>
      <c r="E122" s="1405"/>
      <c r="F122" s="1405" t="str">
        <f>VLOOKUP(G122,'Baumaterialien Matériaux'!$A$10:$AD$434,7,FALSE)</f>
        <v>kg</v>
      </c>
      <c r="G122" s="1405" t="s">
        <v>816</v>
      </c>
      <c r="H122" s="1405">
        <f>1500*0.2</f>
        <v>300</v>
      </c>
      <c r="I122" s="1405"/>
      <c r="J122" s="1568">
        <v>60</v>
      </c>
      <c r="K122" s="1586">
        <f>$H122*_xlfn.XLOOKUP($G122,'Baumaterialien Matériaux'!$A:$A,'Baumaterialien Matériaux'!V:V,0,0)</f>
        <v>9.629999999999999</v>
      </c>
      <c r="L122" s="1586">
        <f>$H122*_xlfn.XLOOKUP($G122,'Baumaterialien Matériaux'!$A:$A,'Baumaterialien Matériaux'!Y:Y,0,0)</f>
        <v>15.780000000000001</v>
      </c>
      <c r="M122" s="1586">
        <f>$H122*_xlfn.XLOOKUP($G122,'Baumaterialien Matériaux'!$A:$A,'Baumaterialien Matériaux'!AA:AA,0,0)</f>
        <v>1.5029999999999999</v>
      </c>
      <c r="N122" s="1586">
        <f>$H122*_xlfn.XLOOKUP($G122,'Baumaterialien Matériaux'!$A:$A,'Baumaterialien Matériaux'!AB:AB,0,0)</f>
        <v>3.7800000000000002</v>
      </c>
      <c r="O122" s="1586">
        <f>$H122*_xlfn.XLOOKUP($G122,'Baumaterialien Matériaux'!$A:$A,'Baumaterialien Matériaux'!AC:AC,0,0)*44/12</f>
        <v>0</v>
      </c>
      <c r="P122" s="1586">
        <f>$H122*_xlfn.XLOOKUP($G122,'Baumaterialien Matériaux'!$A:$A,'Baumaterialien Matériaux'!AG:AG,0,0)</f>
        <v>0</v>
      </c>
      <c r="Q122" s="1586">
        <f>$H122*_xlfn.XLOOKUP($G122,'Baumaterialien Matériaux'!$A:$A,'Baumaterialien Matériaux'!AH:AH,0,0)</f>
        <v>0</v>
      </c>
      <c r="S122" s="133"/>
      <c r="T122" s="1911"/>
    </row>
    <row r="123" spans="1:23">
      <c r="A123" s="258"/>
      <c r="B123" s="1571" t="s">
        <v>3999</v>
      </c>
      <c r="C123" s="1405" t="s">
        <v>4016</v>
      </c>
      <c r="D123" s="1405" t="str">
        <f>VLOOKUP(G123,'Transporte Transports'!$A$10:$AD$432,27,FALSE)</f>
        <v>Excavations mécaniques, en moyenne</v>
      </c>
      <c r="E123" s="1405"/>
      <c r="F123" s="1405" t="str">
        <f>VLOOKUP(G123,'Transporte Transports'!$A$10:$AD$432,5,FALSE)</f>
        <v>m3</v>
      </c>
      <c r="G123" s="1405" t="s">
        <v>519</v>
      </c>
      <c r="H123" s="1405">
        <v>0.6</v>
      </c>
      <c r="I123" s="1405"/>
      <c r="J123" s="1568">
        <v>60</v>
      </c>
      <c r="K123" s="1586">
        <f>$H123*_xlfn.XLOOKUP($G123,'Transporte Transports'!$A:$A,'Transporte Transports'!R:R,0,0)</f>
        <v>0.98399999999999987</v>
      </c>
      <c r="L123" s="1586"/>
      <c r="M123" s="1569">
        <f>$H123*_xlfn.XLOOKUP($G123,'Transporte Transports'!$A:$A,'Transporte Transports'!V:V,0,0)</f>
        <v>0.25979999999999998</v>
      </c>
      <c r="N123" s="1569"/>
      <c r="O123" s="1586"/>
      <c r="P123" s="1586"/>
      <c r="Q123" s="1586"/>
      <c r="S123" s="133"/>
      <c r="T123" s="1912"/>
    </row>
    <row r="124" spans="1:23" ht="16.5" thickBot="1">
      <c r="A124" s="856"/>
      <c r="B124" s="856"/>
      <c r="C124" s="856"/>
      <c r="D124" s="856"/>
      <c r="E124" s="856"/>
      <c r="F124" s="856"/>
      <c r="G124" s="856"/>
      <c r="H124" s="856"/>
      <c r="I124" s="856"/>
      <c r="J124" s="856"/>
      <c r="K124" s="856">
        <f>SUM(K119:K123)</f>
        <v>12.105299999999998</v>
      </c>
      <c r="L124" s="856">
        <f t="shared" ref="L124:Q124" si="17">SUM(L119:L123)</f>
        <v>18.3048</v>
      </c>
      <c r="M124" s="856">
        <f t="shared" si="17"/>
        <v>1.9973999999999998</v>
      </c>
      <c r="N124" s="856">
        <f t="shared" si="17"/>
        <v>4.3848000000000003</v>
      </c>
      <c r="O124" s="856">
        <f t="shared" si="17"/>
        <v>0</v>
      </c>
      <c r="P124" s="856">
        <f t="shared" si="17"/>
        <v>0</v>
      </c>
      <c r="Q124" s="856">
        <f t="shared" si="17"/>
        <v>0</v>
      </c>
      <c r="S124" s="1190">
        <f>(M124+N124)/J123</f>
        <v>0.10637000000000001</v>
      </c>
      <c r="T124" s="805"/>
    </row>
    <row r="125" spans="1:23" ht="16.5" thickTop="1"/>
    <row r="126" spans="1:23" s="978" customFormat="1">
      <c r="A126" s="1572" t="s">
        <v>4031</v>
      </c>
      <c r="B126" s="1405" t="s">
        <v>4029</v>
      </c>
      <c r="C126" s="1405" t="s">
        <v>4020</v>
      </c>
      <c r="D126" s="1405" t="str">
        <f>VLOOKUP(G126,'Baumaterialien Matériaux'!$A$10:$AD$434,30,FALSE)</f>
        <v>Dalle en pierre naturelle polie, 15 mm</v>
      </c>
      <c r="E126" s="1405"/>
      <c r="F126" s="1405" t="str">
        <f>VLOOKUP(G126,'Baumaterialien Matériaux'!$A$10:$AD$434,7,FALSE)</f>
        <v>m2</v>
      </c>
      <c r="G126" s="1405" t="s">
        <v>2260</v>
      </c>
      <c r="H126" s="1405">
        <f>4/1.5</f>
        <v>2.6666666666666665</v>
      </c>
      <c r="I126" s="1405"/>
      <c r="J126" s="1568">
        <v>60</v>
      </c>
      <c r="K126" s="1586">
        <f>$H126*_xlfn.XLOOKUP($G126,'Baumaterialien Matériaux'!$A:$A,'Baumaterialien Matériaux'!V:V,0,0)</f>
        <v>378.66666666666663</v>
      </c>
      <c r="L126" s="1586">
        <f>$H126*_xlfn.XLOOKUP($G126,'Baumaterialien Matériaux'!$A:$A,'Baumaterialien Matériaux'!Y:Y,0,0)</f>
        <v>5.68</v>
      </c>
      <c r="M126" s="1586">
        <f>$H126*_xlfn.XLOOKUP($G126,'Baumaterialien Matériaux'!$A:$A,'Baumaterialien Matériaux'!AA:AA,0,0)</f>
        <v>50.933333333333337</v>
      </c>
      <c r="N126" s="1586">
        <f>$H126*_xlfn.XLOOKUP($G126,'Baumaterialien Matériaux'!$A:$A,'Baumaterialien Matériaux'!AB:AB,0,0)</f>
        <v>1.3706666666666667</v>
      </c>
      <c r="O126" s="1586">
        <f>$H126*_xlfn.XLOOKUP($G126,'Baumaterialien Matériaux'!$A:$A,'Baumaterialien Matériaux'!AC:AC,0,0)*44/12</f>
        <v>0</v>
      </c>
      <c r="P126" s="1586">
        <f>$H126*_xlfn.XLOOKUP($G126,'Baumaterialien Matériaux'!$A:$A,'Baumaterialien Matériaux'!AG:AG,0,0)</f>
        <v>0</v>
      </c>
      <c r="Q126" s="1586">
        <f>$H126*_xlfn.XLOOKUP($G126,'Baumaterialien Matériaux'!$A:$A,'Baumaterialien Matériaux'!AH:AH,0,0)</f>
        <v>0</v>
      </c>
      <c r="S126" s="133"/>
      <c r="T126" s="1911"/>
    </row>
    <row r="127" spans="1:23" s="1405" customFormat="1">
      <c r="A127" s="258"/>
      <c r="B127" s="1571" t="s">
        <v>3998</v>
      </c>
      <c r="C127" s="1570"/>
      <c r="D127" s="1570" t="str">
        <f>VLOOKUP(G127,'Baumaterialien Matériaux'!$A$10:$AD$434,30,FALSE)</f>
        <v>Sable 1</v>
      </c>
      <c r="E127" s="1570"/>
      <c r="F127" s="1570" t="str">
        <f>VLOOKUP(G127,'Baumaterialien Matériaux'!$A$10:$AD$434,7,FALSE)</f>
        <v>kg</v>
      </c>
      <c r="G127" s="1358" t="s">
        <v>758</v>
      </c>
      <c r="H127" s="1405">
        <f>1500*5/100*0.04</f>
        <v>3</v>
      </c>
      <c r="J127" s="1568">
        <v>60</v>
      </c>
      <c r="K127" s="1586">
        <f>$H127*_xlfn.XLOOKUP($G127,'Baumaterialien Matériaux'!$A:$A,'Baumaterialien Matériaux'!V:V,0,0)</f>
        <v>4.6799999999999994E-2</v>
      </c>
      <c r="L127" s="1586">
        <f>$H127*_xlfn.XLOOKUP($G127,'Baumaterialien Matériaux'!$A:$A,'Baumaterialien Matériaux'!Y:Y,0,0)</f>
        <v>0.1578</v>
      </c>
      <c r="M127" s="1587">
        <f>$H127*_xlfn.XLOOKUP($G127,'Baumaterialien Matériaux'!$A:$A,'Baumaterialien Matériaux'!AA:AA,0,0)</f>
        <v>9.1500000000000001E-3</v>
      </c>
      <c r="N127" s="1587">
        <f>$H127*_xlfn.XLOOKUP($G127,'Baumaterialien Matériaux'!$A:$A,'Baumaterialien Matériaux'!AB:AB,0,0)</f>
        <v>3.78E-2</v>
      </c>
      <c r="O127" s="1586">
        <f>$H127*_xlfn.XLOOKUP($G127,'Baumaterialien Matériaux'!$A:$A,'Baumaterialien Matériaux'!AC:AC,0,0)*44/12</f>
        <v>0</v>
      </c>
      <c r="P127" s="1586">
        <f>$H127*_xlfn.XLOOKUP($G127,'Baumaterialien Matériaux'!$A:$A,'Baumaterialien Matériaux'!AG:AG,0,0)</f>
        <v>0</v>
      </c>
      <c r="Q127" s="1586">
        <f>$H127*_xlfn.XLOOKUP($G127,'Baumaterialien Matériaux'!$A:$A,'Baumaterialien Matériaux'!AH:AH,0,0)</f>
        <v>0</v>
      </c>
      <c r="T127" s="1911"/>
      <c r="U127" s="1571"/>
    </row>
    <row r="128" spans="1:23">
      <c r="A128" s="258"/>
      <c r="B128" s="1571" t="s">
        <v>3978</v>
      </c>
      <c r="C128" s="1405" t="s">
        <v>4022</v>
      </c>
      <c r="D128" s="1405" t="str">
        <f>VLOOKUP(G128,'Baumaterialien Matériaux'!$A$10:$AD$434,30,FALSE)</f>
        <v>Gravier concassé 1</v>
      </c>
      <c r="E128" s="1405"/>
      <c r="F128" s="1405" t="str">
        <f>VLOOKUP(G128,'Baumaterialien Matériaux'!$A$10:$AD$434,7,FALSE)</f>
        <v>kg</v>
      </c>
      <c r="G128" s="1405" t="s">
        <v>816</v>
      </c>
      <c r="H128" s="1405">
        <f>1500*0.03</f>
        <v>45</v>
      </c>
      <c r="I128" s="1405"/>
      <c r="J128" s="1568">
        <v>60</v>
      </c>
      <c r="K128" s="1586">
        <f>$H128*_xlfn.XLOOKUP($G128,'Baumaterialien Matériaux'!$A:$A,'Baumaterialien Matériaux'!V:V,0,0)</f>
        <v>1.4444999999999999</v>
      </c>
      <c r="L128" s="1586">
        <f>$H128*_xlfn.XLOOKUP($G128,'Baumaterialien Matériaux'!$A:$A,'Baumaterialien Matériaux'!Y:Y,0,0)</f>
        <v>2.367</v>
      </c>
      <c r="M128" s="1586">
        <f>$H128*_xlfn.XLOOKUP($G128,'Baumaterialien Matériaux'!$A:$A,'Baumaterialien Matériaux'!AA:AA,0,0)</f>
        <v>0.22544999999999998</v>
      </c>
      <c r="N128" s="1586">
        <f>$H128*_xlfn.XLOOKUP($G128,'Baumaterialien Matériaux'!$A:$A,'Baumaterialien Matériaux'!AB:AB,0,0)</f>
        <v>0.56699999999999995</v>
      </c>
      <c r="O128" s="1586">
        <f>$H128*_xlfn.XLOOKUP($G128,'Baumaterialien Matériaux'!$A:$A,'Baumaterialien Matériaux'!AC:AC,0,0)*44/12</f>
        <v>0</v>
      </c>
      <c r="P128" s="1586">
        <f>$H128*_xlfn.XLOOKUP($G128,'Baumaterialien Matériaux'!$A:$A,'Baumaterialien Matériaux'!AG:AG,0,0)</f>
        <v>0</v>
      </c>
      <c r="Q128" s="1586">
        <f>$H128*_xlfn.XLOOKUP($G128,'Baumaterialien Matériaux'!$A:$A,'Baumaterialien Matériaux'!AH:AH,0,0)</f>
        <v>0</v>
      </c>
      <c r="S128" s="133"/>
      <c r="T128" s="1911"/>
    </row>
    <row r="129" spans="1:21">
      <c r="A129" s="258"/>
      <c r="B129" s="1571" t="s">
        <v>3979</v>
      </c>
      <c r="C129" s="1405" t="s">
        <v>4021</v>
      </c>
      <c r="D129" s="1405" t="str">
        <f>VLOOKUP(G129,'Baumaterialien Matériaux'!$A$10:$AD$434,30,FALSE)</f>
        <v>Gravier concassé 1</v>
      </c>
      <c r="E129" s="1405"/>
      <c r="F129" s="1405" t="str">
        <f>VLOOKUP(G129,'Baumaterialien Matériaux'!$A$10:$AD$434,7,FALSE)</f>
        <v>kg</v>
      </c>
      <c r="G129" s="1405" t="s">
        <v>816</v>
      </c>
      <c r="H129" s="1405">
        <f>1500*0.2</f>
        <v>300</v>
      </c>
      <c r="I129" s="1405"/>
      <c r="J129" s="1568">
        <v>60</v>
      </c>
      <c r="K129" s="1586">
        <f>$H129*_xlfn.XLOOKUP($G129,'Baumaterialien Matériaux'!$A:$A,'Baumaterialien Matériaux'!V:V,0,0)</f>
        <v>9.629999999999999</v>
      </c>
      <c r="L129" s="1586">
        <f>$H129*_xlfn.XLOOKUP($G129,'Baumaterialien Matériaux'!$A:$A,'Baumaterialien Matériaux'!Y:Y,0,0)</f>
        <v>15.780000000000001</v>
      </c>
      <c r="M129" s="1586">
        <f>$H129*_xlfn.XLOOKUP($G129,'Baumaterialien Matériaux'!$A:$A,'Baumaterialien Matériaux'!AA:AA,0,0)</f>
        <v>1.5029999999999999</v>
      </c>
      <c r="N129" s="1586">
        <f>$H129*_xlfn.XLOOKUP($G129,'Baumaterialien Matériaux'!$A:$A,'Baumaterialien Matériaux'!AB:AB,0,0)</f>
        <v>3.7800000000000002</v>
      </c>
      <c r="O129" s="1586">
        <f>$H129*_xlfn.XLOOKUP($G129,'Baumaterialien Matériaux'!$A:$A,'Baumaterialien Matériaux'!AC:AC,0,0)*44/12</f>
        <v>0</v>
      </c>
      <c r="P129" s="1586">
        <f>$H129*_xlfn.XLOOKUP($G129,'Baumaterialien Matériaux'!$A:$A,'Baumaterialien Matériaux'!AG:AG,0,0)</f>
        <v>0</v>
      </c>
      <c r="Q129" s="1586">
        <f>$H129*_xlfn.XLOOKUP($G129,'Baumaterialien Matériaux'!$A:$A,'Baumaterialien Matériaux'!AH:AH,0,0)</f>
        <v>0</v>
      </c>
      <c r="S129" s="133"/>
      <c r="T129" s="1911"/>
    </row>
    <row r="130" spans="1:21">
      <c r="A130" s="258"/>
      <c r="B130" s="1571" t="s">
        <v>3999</v>
      </c>
      <c r="C130" s="1405" t="s">
        <v>4016</v>
      </c>
      <c r="D130" s="1405" t="str">
        <f>VLOOKUP(G130,'Transporte Transports'!$A$10:$AD$432,27,FALSE)</f>
        <v>Excavations mécaniques, en moyenne</v>
      </c>
      <c r="E130" s="1405"/>
      <c r="F130" s="1405" t="str">
        <f>VLOOKUP(G130,'Transporte Transports'!$A$10:$AD$432,5,FALSE)</f>
        <v>m3</v>
      </c>
      <c r="G130" s="1405" t="s">
        <v>519</v>
      </c>
      <c r="H130" s="1405">
        <v>0.6</v>
      </c>
      <c r="I130" s="1405"/>
      <c r="J130" s="1568">
        <v>60</v>
      </c>
      <c r="K130" s="1586">
        <f>$H130*_xlfn.XLOOKUP($G130,'Transporte Transports'!$A:$A,'Transporte Transports'!R:R,0,0)</f>
        <v>0.98399999999999987</v>
      </c>
      <c r="L130" s="1586"/>
      <c r="M130" s="1569">
        <f>$H130*_xlfn.XLOOKUP($G130,'Transporte Transports'!$A:$A,'Transporte Transports'!V:V,0,0)</f>
        <v>0.25979999999999998</v>
      </c>
      <c r="N130" s="1569"/>
      <c r="O130" s="1586"/>
      <c r="P130" s="1586"/>
      <c r="Q130" s="1586"/>
      <c r="S130" s="133"/>
      <c r="T130" s="1912"/>
    </row>
    <row r="131" spans="1:21" ht="16.5" thickBot="1">
      <c r="A131" s="856"/>
      <c r="B131" s="856"/>
      <c r="C131" s="856"/>
      <c r="D131" s="856"/>
      <c r="E131" s="856"/>
      <c r="F131" s="856"/>
      <c r="G131" s="856"/>
      <c r="H131" s="856"/>
      <c r="I131" s="856"/>
      <c r="J131" s="856"/>
      <c r="K131" s="856">
        <f>SUM(K126:K130)</f>
        <v>390.77196666666663</v>
      </c>
      <c r="L131" s="856">
        <f t="shared" ref="L131:Q131" si="18">SUM(L126:L130)</f>
        <v>23.9848</v>
      </c>
      <c r="M131" s="856">
        <f t="shared" si="18"/>
        <v>52.930733333333336</v>
      </c>
      <c r="N131" s="856">
        <f t="shared" si="18"/>
        <v>5.755466666666667</v>
      </c>
      <c r="O131" s="856">
        <f t="shared" si="18"/>
        <v>0</v>
      </c>
      <c r="P131" s="856">
        <f t="shared" si="18"/>
        <v>0</v>
      </c>
      <c r="Q131" s="856">
        <f t="shared" si="18"/>
        <v>0</v>
      </c>
      <c r="S131" s="1190">
        <f>(M131+N131)/J130</f>
        <v>0.97810333333333332</v>
      </c>
      <c r="T131" s="805"/>
    </row>
    <row r="132" spans="1:21" ht="16.5" thickTop="1"/>
    <row r="134" spans="1:21" s="978" customFormat="1">
      <c r="A134" s="1572" t="s">
        <v>4046</v>
      </c>
      <c r="B134" s="1405" t="s">
        <v>4029</v>
      </c>
      <c r="C134" s="1405" t="s">
        <v>4020</v>
      </c>
      <c r="D134" s="1405" t="e">
        <f>VLOOKUP(G134,'Baumaterialien Matériaux'!$A$10:$AD$434,30,FALSE)</f>
        <v>#N/A</v>
      </c>
      <c r="E134" s="1405"/>
      <c r="F134" s="1405" t="e">
        <f>VLOOKUP(G134,'Baumaterialien Matériaux'!$A$10:$AD$434,7,FALSE)</f>
        <v>#N/A</v>
      </c>
      <c r="G134" s="1589" t="s">
        <v>4047</v>
      </c>
      <c r="H134" s="1405">
        <f>0.04*2500</f>
        <v>100</v>
      </c>
      <c r="I134" s="1405"/>
      <c r="J134" s="1568">
        <v>60</v>
      </c>
      <c r="K134" s="1586">
        <f>$H134*_xlfn.XLOOKUP($G134,'Baumaterialien Matériaux'!$A:$A,'Baumaterialien Matériaux'!V:V,0,0)</f>
        <v>0</v>
      </c>
      <c r="L134" s="1586">
        <f>$H134*_xlfn.XLOOKUP($G134,'Baumaterialien Matériaux'!$A:$A,'Baumaterialien Matériaux'!Y:Y,0,0)</f>
        <v>0</v>
      </c>
      <c r="M134" s="1586">
        <f>$H134*(_xlfn.XLOOKUP($G134,'Baumaterialien Matériaux'!$A:$A,'Baumaterialien Matériaux'!AA:AA,0,0))</f>
        <v>0</v>
      </c>
      <c r="N134" s="1586">
        <f>$H134*_xlfn.XLOOKUP($G134,'Baumaterialien Matériaux'!$A:$A,'Baumaterialien Matériaux'!AB:AB,0,0)</f>
        <v>0</v>
      </c>
      <c r="O134" s="1586">
        <f>$H134*_xlfn.XLOOKUP($G134,'Baumaterialien Matériaux'!$A:$A,'Baumaterialien Matériaux'!AC:AC,0,0)*44/12</f>
        <v>0</v>
      </c>
      <c r="P134" s="1586">
        <f>$H134*_xlfn.XLOOKUP($G134,'Baumaterialien Matériaux'!$A:$A,'Baumaterialien Matériaux'!AG:AG,0,0)</f>
        <v>0</v>
      </c>
      <c r="Q134" s="1586">
        <f>$H134*_xlfn.XLOOKUP($G134,'Baumaterialien Matériaux'!$A:$A,'Baumaterialien Matériaux'!AH:AH,0,0)</f>
        <v>0</v>
      </c>
      <c r="S134" s="133"/>
      <c r="T134" s="1911"/>
    </row>
    <row r="135" spans="1:21" s="1405" customFormat="1">
      <c r="A135" s="258"/>
      <c r="B135" s="1571" t="s">
        <v>3998</v>
      </c>
      <c r="C135" s="1570"/>
      <c r="D135" s="1570" t="str">
        <f>VLOOKUP(G135,'Baumaterialien Matériaux'!$A$10:$AD$434,30,FALSE)</f>
        <v>Sable 1</v>
      </c>
      <c r="E135" s="1570"/>
      <c r="F135" s="1570" t="str">
        <f>VLOOKUP(G135,'Baumaterialien Matériaux'!$A$10:$AD$434,7,FALSE)</f>
        <v>kg</v>
      </c>
      <c r="G135" s="1358" t="s">
        <v>758</v>
      </c>
      <c r="H135" s="1405">
        <f>1500*5/100*0.04</f>
        <v>3</v>
      </c>
      <c r="J135" s="1568">
        <v>60</v>
      </c>
      <c r="K135" s="1586">
        <f>$H135*_xlfn.XLOOKUP($G135,'Baumaterialien Matériaux'!$A:$A,'Baumaterialien Matériaux'!V:V,0,0)</f>
        <v>4.6799999999999994E-2</v>
      </c>
      <c r="L135" s="1586">
        <f>$H135*_xlfn.XLOOKUP($G135,'Baumaterialien Matériaux'!$A:$A,'Baumaterialien Matériaux'!Y:Y,0,0)</f>
        <v>0.1578</v>
      </c>
      <c r="M135" s="1587">
        <f>$H135*_xlfn.XLOOKUP($G135,'Baumaterialien Matériaux'!$A:$A,'Baumaterialien Matériaux'!AA:AA,0,0)</f>
        <v>9.1500000000000001E-3</v>
      </c>
      <c r="N135" s="1587">
        <f>$H135*_xlfn.XLOOKUP($G135,'Baumaterialien Matériaux'!$A:$A,'Baumaterialien Matériaux'!AB:AB,0,0)</f>
        <v>3.78E-2</v>
      </c>
      <c r="O135" s="1586">
        <f>$H135*_xlfn.XLOOKUP($G135,'Baumaterialien Matériaux'!$A:$A,'Baumaterialien Matériaux'!AC:AC,0,0)*44/12</f>
        <v>0</v>
      </c>
      <c r="P135" s="1586">
        <f>$H135*_xlfn.XLOOKUP($G135,'Baumaterialien Matériaux'!$A:$A,'Baumaterialien Matériaux'!AG:AG,0,0)</f>
        <v>0</v>
      </c>
      <c r="Q135" s="1586">
        <f>$H135*_xlfn.XLOOKUP($G135,'Baumaterialien Matériaux'!$A:$A,'Baumaterialien Matériaux'!AH:AH,0,0)</f>
        <v>0</v>
      </c>
      <c r="T135" s="1911"/>
      <c r="U135" s="1571"/>
    </row>
    <row r="136" spans="1:21">
      <c r="A136" s="258"/>
      <c r="B136" s="1571" t="s">
        <v>3978</v>
      </c>
      <c r="C136" s="1405" t="s">
        <v>4022</v>
      </c>
      <c r="D136" s="1405" t="str">
        <f>VLOOKUP(G136,'Baumaterialien Matériaux'!$A$10:$AD$434,30,FALSE)</f>
        <v>Gravier concassé 1</v>
      </c>
      <c r="E136" s="1405"/>
      <c r="F136" s="1405" t="str">
        <f>VLOOKUP(G136,'Baumaterialien Matériaux'!$A$10:$AD$434,7,FALSE)</f>
        <v>kg</v>
      </c>
      <c r="G136" s="1405" t="s">
        <v>816</v>
      </c>
      <c r="H136" s="1405">
        <f>1500*0.03</f>
        <v>45</v>
      </c>
      <c r="I136" s="1405"/>
      <c r="J136" s="1568">
        <v>60</v>
      </c>
      <c r="K136" s="1586">
        <f>$H136*_xlfn.XLOOKUP($G136,'Baumaterialien Matériaux'!$A:$A,'Baumaterialien Matériaux'!V:V,0,0)</f>
        <v>1.4444999999999999</v>
      </c>
      <c r="L136" s="1586">
        <f>$H136*_xlfn.XLOOKUP($G136,'Baumaterialien Matériaux'!$A:$A,'Baumaterialien Matériaux'!Y:Y,0,0)</f>
        <v>2.367</v>
      </c>
      <c r="M136" s="1586">
        <f>$H136*_xlfn.XLOOKUP($G136,'Baumaterialien Matériaux'!$A:$A,'Baumaterialien Matériaux'!AA:AA,0,0)</f>
        <v>0.22544999999999998</v>
      </c>
      <c r="N136" s="1586">
        <f>$H136*_xlfn.XLOOKUP($G136,'Baumaterialien Matériaux'!$A:$A,'Baumaterialien Matériaux'!AB:AB,0,0)</f>
        <v>0.56699999999999995</v>
      </c>
      <c r="O136" s="1586">
        <f>$H136*_xlfn.XLOOKUP($G136,'Baumaterialien Matériaux'!$A:$A,'Baumaterialien Matériaux'!AC:AC,0,0)*44/12</f>
        <v>0</v>
      </c>
      <c r="P136" s="1586">
        <f>$H136*_xlfn.XLOOKUP($G136,'Baumaterialien Matériaux'!$A:$A,'Baumaterialien Matériaux'!AG:AG,0,0)</f>
        <v>0</v>
      </c>
      <c r="Q136" s="1586">
        <f>$H136*_xlfn.XLOOKUP($G136,'Baumaterialien Matériaux'!$A:$A,'Baumaterialien Matériaux'!AH:AH,0,0)</f>
        <v>0</v>
      </c>
      <c r="S136" s="133"/>
      <c r="T136" s="1911"/>
    </row>
    <row r="137" spans="1:21">
      <c r="A137" s="258"/>
      <c r="B137" s="1571" t="s">
        <v>3979</v>
      </c>
      <c r="C137" s="1405" t="s">
        <v>4021</v>
      </c>
      <c r="D137" s="1405" t="str">
        <f>VLOOKUP(G137,'Baumaterialien Matériaux'!$A$10:$AD$434,30,FALSE)</f>
        <v>Gravier concassé 1</v>
      </c>
      <c r="E137" s="1405"/>
      <c r="F137" s="1405" t="str">
        <f>VLOOKUP(G137,'Baumaterialien Matériaux'!$A$10:$AD$434,7,FALSE)</f>
        <v>kg</v>
      </c>
      <c r="G137" s="1405" t="s">
        <v>816</v>
      </c>
      <c r="H137" s="1405">
        <f>1500*0.2</f>
        <v>300</v>
      </c>
      <c r="I137" s="1405"/>
      <c r="J137" s="1568">
        <v>60</v>
      </c>
      <c r="K137" s="1586">
        <f>$H137*_xlfn.XLOOKUP($G137,'Baumaterialien Matériaux'!$A:$A,'Baumaterialien Matériaux'!V:V,0,0)</f>
        <v>9.629999999999999</v>
      </c>
      <c r="L137" s="1586">
        <f>$H137*_xlfn.XLOOKUP($G137,'Baumaterialien Matériaux'!$A:$A,'Baumaterialien Matériaux'!Y:Y,0,0)</f>
        <v>15.780000000000001</v>
      </c>
      <c r="M137" s="1586">
        <f>$H137*_xlfn.XLOOKUP($G137,'Baumaterialien Matériaux'!$A:$A,'Baumaterialien Matériaux'!AA:AA,0,0)</f>
        <v>1.5029999999999999</v>
      </c>
      <c r="N137" s="1586">
        <f>$H137*_xlfn.XLOOKUP($G137,'Baumaterialien Matériaux'!$A:$A,'Baumaterialien Matériaux'!AB:AB,0,0)</f>
        <v>3.7800000000000002</v>
      </c>
      <c r="O137" s="1586">
        <f>$H137*_xlfn.XLOOKUP($G137,'Baumaterialien Matériaux'!$A:$A,'Baumaterialien Matériaux'!AC:AC,0,0)*44/12</f>
        <v>0</v>
      </c>
      <c r="P137" s="1586">
        <f>$H137*_xlfn.XLOOKUP($G137,'Baumaterialien Matériaux'!$A:$A,'Baumaterialien Matériaux'!AG:AG,0,0)</f>
        <v>0</v>
      </c>
      <c r="Q137" s="1586">
        <f>$H137*_xlfn.XLOOKUP($G137,'Baumaterialien Matériaux'!$A:$A,'Baumaterialien Matériaux'!AH:AH,0,0)</f>
        <v>0</v>
      </c>
      <c r="S137" s="133"/>
      <c r="T137" s="1911"/>
    </row>
    <row r="138" spans="1:21">
      <c r="A138" s="258"/>
      <c r="B138" s="1571" t="s">
        <v>3999</v>
      </c>
      <c r="C138" s="1405" t="s">
        <v>4016</v>
      </c>
      <c r="D138" s="1405" t="str">
        <f>VLOOKUP(G138,'Transporte Transports'!$A$10:$AD$432,27,FALSE)</f>
        <v>Excavations mécaniques, en moyenne</v>
      </c>
      <c r="E138" s="1405"/>
      <c r="F138" s="1405" t="str">
        <f>VLOOKUP(G138,'Transporte Transports'!$A$10:$AD$432,5,FALSE)</f>
        <v>m3</v>
      </c>
      <c r="G138" s="1405" t="s">
        <v>519</v>
      </c>
      <c r="H138" s="1405">
        <v>0.6</v>
      </c>
      <c r="I138" s="1405"/>
      <c r="J138" s="1568">
        <v>60</v>
      </c>
      <c r="K138" s="1586">
        <f>$H138*_xlfn.XLOOKUP($G138,'Transporte Transports'!$A:$A,'Transporte Transports'!R:R,0,0)</f>
        <v>0.98399999999999987</v>
      </c>
      <c r="L138" s="1586"/>
      <c r="M138" s="1569">
        <f>$H138*_xlfn.XLOOKUP($G138,'Transporte Transports'!$A:$A,'Transporte Transports'!V:V,0,0)</f>
        <v>0.25979999999999998</v>
      </c>
      <c r="N138" s="1569"/>
      <c r="O138" s="1586"/>
      <c r="P138" s="1586"/>
      <c r="Q138" s="1586"/>
      <c r="S138" s="1190"/>
      <c r="T138" s="1912"/>
    </row>
    <row r="139" spans="1:21" ht="16.5" thickBot="1">
      <c r="A139" s="856"/>
      <c r="B139" s="856"/>
      <c r="C139" s="856"/>
      <c r="D139" s="856"/>
      <c r="E139" s="856"/>
      <c r="F139" s="856"/>
      <c r="G139" s="856"/>
      <c r="H139" s="856"/>
      <c r="I139" s="856"/>
      <c r="J139" s="856"/>
      <c r="K139" s="856"/>
      <c r="L139" s="856"/>
      <c r="M139" s="856">
        <f t="shared" ref="M139:N139" si="19">SUM(M134:M138)</f>
        <v>1.9973999999999998</v>
      </c>
      <c r="N139" s="856">
        <f t="shared" si="19"/>
        <v>4.3848000000000003</v>
      </c>
      <c r="O139" s="856"/>
      <c r="P139" s="856"/>
      <c r="Q139" s="856"/>
      <c r="S139" s="1190">
        <f>(M139+N139)/J138</f>
        <v>0.10637000000000001</v>
      </c>
      <c r="T139" s="804"/>
    </row>
    <row r="140" spans="1:21" ht="16.5" thickTop="1">
      <c r="A140" s="258"/>
      <c r="B140" s="1571"/>
      <c r="C140" s="1405"/>
      <c r="D140" s="1405"/>
      <c r="E140" s="1405"/>
      <c r="F140" s="1405"/>
      <c r="G140" s="1405"/>
      <c r="H140" s="1405"/>
      <c r="I140" s="1405"/>
      <c r="J140" s="1568"/>
      <c r="K140" s="1586"/>
      <c r="L140" s="1586"/>
      <c r="M140" s="1586"/>
      <c r="N140" s="1586"/>
      <c r="O140" s="1586"/>
      <c r="P140" s="1586"/>
      <c r="Q140" s="1586"/>
      <c r="S140" s="133"/>
      <c r="T140" s="804"/>
    </row>
    <row r="141" spans="1:21" s="978" customFormat="1">
      <c r="A141" s="1572" t="s">
        <v>4048</v>
      </c>
      <c r="B141" s="1405" t="s">
        <v>4029</v>
      </c>
      <c r="C141" s="1405" t="s">
        <v>4020</v>
      </c>
      <c r="D141" s="1405" t="str">
        <f>VLOOKUP(G141,'Baumaterialien Matériaux'!$A$10:$AD$434,30,FALSE)</f>
        <v>Dalle en pierre naturelle polie, 15 mm</v>
      </c>
      <c r="E141" s="1405"/>
      <c r="F141" s="1405" t="str">
        <f>VLOOKUP(G141,'Baumaterialien Matériaux'!$A$10:$AD$434,7,FALSE)</f>
        <v>m2</v>
      </c>
      <c r="G141" s="1405" t="s">
        <v>2260</v>
      </c>
      <c r="H141" s="1405">
        <f>4/1.5</f>
        <v>2.6666666666666665</v>
      </c>
      <c r="I141" s="1405"/>
      <c r="J141" s="1568">
        <v>60</v>
      </c>
      <c r="K141" s="1586">
        <f>$H141*_xlfn.XLOOKUP($G141,'Baumaterialien Matériaux'!$A:$A,'Baumaterialien Matériaux'!V:V,0,0)</f>
        <v>378.66666666666663</v>
      </c>
      <c r="L141" s="1586">
        <f>$H141*_xlfn.XLOOKUP($G141,'Baumaterialien Matériaux'!$A:$A,'Baumaterialien Matériaux'!Y:Y,0,0)</f>
        <v>5.68</v>
      </c>
      <c r="M141" s="1586">
        <f>$H141*_xlfn.XLOOKUP($G141,'Baumaterialien Matériaux'!$A:$A,'Baumaterialien Matériaux'!AA:AA,0,0)</f>
        <v>50.933333333333337</v>
      </c>
      <c r="N141" s="1586">
        <f>$H141*_xlfn.XLOOKUP($G141,'Baumaterialien Matériaux'!$A:$A,'Baumaterialien Matériaux'!AB:AB,0,0)</f>
        <v>1.3706666666666667</v>
      </c>
      <c r="O141" s="1586">
        <f>$H141*_xlfn.XLOOKUP($G141,'Baumaterialien Matériaux'!$A:$A,'Baumaterialien Matériaux'!AC:AC,0,0)*44/12</f>
        <v>0</v>
      </c>
      <c r="P141" s="1586">
        <f>$H141*_xlfn.XLOOKUP($G141,'Baumaterialien Matériaux'!$A:$A,'Baumaterialien Matériaux'!AG:AG,0,0)</f>
        <v>0</v>
      </c>
      <c r="Q141" s="1586">
        <f>$H141*_xlfn.XLOOKUP($G141,'Baumaterialien Matériaux'!$A:$A,'Baumaterialien Matériaux'!AH:AH,0,0)</f>
        <v>0</v>
      </c>
      <c r="S141" s="133"/>
      <c r="T141" s="1911"/>
    </row>
    <row r="142" spans="1:21" s="1405" customFormat="1">
      <c r="A142" s="258"/>
      <c r="B142" s="1571" t="s">
        <v>3998</v>
      </c>
      <c r="C142" s="1570" t="s">
        <v>4023</v>
      </c>
      <c r="D142" s="1570" t="str">
        <f>VLOOKUP(G142,'Baumaterialien Matériaux'!$A$10:$AD$434,30,FALSE)</f>
        <v>Enduit de ciment</v>
      </c>
      <c r="E142" s="1570"/>
      <c r="F142" s="1570" t="str">
        <f>VLOOKUP(G142,'Baumaterialien Matériaux'!$A$10:$AD$434,7,FALSE)</f>
        <v>kg</v>
      </c>
      <c r="G142" s="1570" t="s">
        <v>625</v>
      </c>
      <c r="H142" s="1405">
        <f>1550*5/100*0.04</f>
        <v>3.1</v>
      </c>
      <c r="J142" s="1568">
        <v>60</v>
      </c>
      <c r="K142" s="1586">
        <f>$H142*_xlfn.XLOOKUP($G142,'Baumaterialien Matériaux'!$A:$A,'Baumaterialien Matériaux'!V:V,0,0)</f>
        <v>1.8662000000000001</v>
      </c>
      <c r="L142" s="1586">
        <f>$H142*_xlfn.XLOOKUP($G142,'Baumaterialien Matériaux'!$A:$A,'Baumaterialien Matériaux'!Y:Y,0,0)</f>
        <v>0.16244</v>
      </c>
      <c r="M142" s="1586">
        <f>$H142*_xlfn.XLOOKUP($G142,'Baumaterialien Matériaux'!$A:$A,'Baumaterialien Matériaux'!AA:AA,0,0)</f>
        <v>0.76880000000000004</v>
      </c>
      <c r="N142" s="1586">
        <f>$H142*_xlfn.XLOOKUP($G142,'Baumaterialien Matériaux'!$A:$A,'Baumaterialien Matériaux'!AB:AB,0,0)</f>
        <v>3.9370000000000002E-2</v>
      </c>
      <c r="O142" s="1586">
        <f>$H142*_xlfn.XLOOKUP($G142,'Baumaterialien Matériaux'!$A:$A,'Baumaterialien Matériaux'!AC:AC,0,0)*44/12</f>
        <v>0</v>
      </c>
      <c r="P142" s="1586">
        <f>$H142*_xlfn.XLOOKUP($G142,'Baumaterialien Matériaux'!$A:$A,'Baumaterialien Matériaux'!AG:AG,0,0)</f>
        <v>0</v>
      </c>
      <c r="Q142" s="1586">
        <f>$H142*_xlfn.XLOOKUP($G142,'Baumaterialien Matériaux'!$A:$A,'Baumaterialien Matériaux'!AH:AH,0,0)</f>
        <v>0</v>
      </c>
      <c r="T142" s="1911"/>
      <c r="U142" s="1571"/>
    </row>
    <row r="143" spans="1:21">
      <c r="A143" s="258"/>
      <c r="B143" s="1571" t="s">
        <v>3978</v>
      </c>
      <c r="C143" s="1405" t="s">
        <v>4022</v>
      </c>
      <c r="D143" s="1405" t="str">
        <f>VLOOKUP(G143,'Baumaterialien Matériaux'!$A$10:$AD$434,30,FALSE)</f>
        <v>Gravier concassé 1</v>
      </c>
      <c r="E143" s="1405"/>
      <c r="F143" s="1405" t="str">
        <f>VLOOKUP(G143,'Baumaterialien Matériaux'!$A$10:$AD$434,7,FALSE)</f>
        <v>kg</v>
      </c>
      <c r="G143" s="1405" t="s">
        <v>816</v>
      </c>
      <c r="H143" s="1405">
        <f>1500*0.03</f>
        <v>45</v>
      </c>
      <c r="I143" s="1405"/>
      <c r="J143" s="1568">
        <v>60</v>
      </c>
      <c r="K143" s="1586">
        <f>$H143*_xlfn.XLOOKUP($G143,'Baumaterialien Matériaux'!$A:$A,'Baumaterialien Matériaux'!V:V,0,0)</f>
        <v>1.4444999999999999</v>
      </c>
      <c r="L143" s="1586">
        <f>$H143*_xlfn.XLOOKUP($G143,'Baumaterialien Matériaux'!$A:$A,'Baumaterialien Matériaux'!Y:Y,0,0)</f>
        <v>2.367</v>
      </c>
      <c r="M143" s="1586">
        <f>$H143*_xlfn.XLOOKUP($G143,'Baumaterialien Matériaux'!$A:$A,'Baumaterialien Matériaux'!AA:AA,0,0)</f>
        <v>0.22544999999999998</v>
      </c>
      <c r="N143" s="1586">
        <f>$H143*_xlfn.XLOOKUP($G143,'Baumaterialien Matériaux'!$A:$A,'Baumaterialien Matériaux'!AB:AB,0,0)</f>
        <v>0.56699999999999995</v>
      </c>
      <c r="O143" s="1586">
        <f>$H143*_xlfn.XLOOKUP($G143,'Baumaterialien Matériaux'!$A:$A,'Baumaterialien Matériaux'!AC:AC,0,0)*44/12</f>
        <v>0</v>
      </c>
      <c r="P143" s="1586">
        <f>$H143*_xlfn.XLOOKUP($G143,'Baumaterialien Matériaux'!$A:$A,'Baumaterialien Matériaux'!AG:AG,0,0)</f>
        <v>0</v>
      </c>
      <c r="Q143" s="1586">
        <f>$H143*_xlfn.XLOOKUP($G143,'Baumaterialien Matériaux'!$A:$A,'Baumaterialien Matériaux'!AH:AH,0,0)</f>
        <v>0</v>
      </c>
      <c r="S143" s="133"/>
      <c r="T143" s="1911"/>
    </row>
    <row r="144" spans="1:21" s="1405" customFormat="1">
      <c r="A144" s="258"/>
      <c r="B144" s="1571" t="s">
        <v>3981</v>
      </c>
      <c r="C144" s="1405" t="s">
        <v>4004</v>
      </c>
      <c r="D144" s="1405" t="str">
        <f>VLOOKUP(G144,'Baumaterialien Matériaux'!$A$10:$AD$434,30,FALSE)</f>
        <v>Béton maigre (sans armature)</v>
      </c>
      <c r="F144" s="1405" t="str">
        <f>VLOOKUP(G144,'Baumaterialien Matériaux'!$A$10:$AD$434,7,FALSE)</f>
        <v>kg</v>
      </c>
      <c r="G144" s="1405" t="s">
        <v>568</v>
      </c>
      <c r="H144" s="1405">
        <f>2150*0.12</f>
        <v>258</v>
      </c>
      <c r="J144" s="1568">
        <v>60</v>
      </c>
      <c r="K144" s="1586">
        <f>$H144*_xlfn.XLOOKUP($G144,'Baumaterialien Matériaux'!$A:$A,'Baumaterialien Matériaux'!V:V,0,0)</f>
        <v>19.788600000000002</v>
      </c>
      <c r="L144" s="1586">
        <f>$H144*_xlfn.XLOOKUP($G144,'Baumaterialien Matériaux'!$A:$A,'Baumaterialien Matériaux'!Y:Y,0,0)</f>
        <v>13.312799999999999</v>
      </c>
      <c r="M144" s="1586">
        <f>$H144*_xlfn.XLOOKUP($G144,'Baumaterialien Matériaux'!$A:$A,'Baumaterialien Matériaux'!AA:AA,0,0)</f>
        <v>12.951600000000001</v>
      </c>
      <c r="N144" s="1586">
        <f>$H144*_xlfn.XLOOKUP($G144,'Baumaterialien Matériaux'!$A:$A,'Baumaterialien Matériaux'!AB:AB,0,0)</f>
        <v>3.2507999999999999</v>
      </c>
      <c r="O144" s="1586">
        <f>$H144*_xlfn.XLOOKUP($G144,'Baumaterialien Matériaux'!$A:$A,'Baumaterialien Matériaux'!AC:AC,0,0)*44/12</f>
        <v>0</v>
      </c>
      <c r="P144" s="1586">
        <f>$H144*_xlfn.XLOOKUP($G144,'Baumaterialien Matériaux'!$A:$A,'Baumaterialien Matériaux'!AG:AG,0,0)</f>
        <v>0</v>
      </c>
      <c r="Q144" s="1586">
        <f>$H144*_xlfn.XLOOKUP($G144,'Baumaterialien Matériaux'!$A:$A,'Baumaterialien Matériaux'!AH:AH,0,0)</f>
        <v>0</v>
      </c>
      <c r="T144" s="1912"/>
      <c r="U144" s="1571"/>
    </row>
    <row r="145" spans="1:20">
      <c r="A145" s="258"/>
      <c r="B145" s="1571" t="s">
        <v>3979</v>
      </c>
      <c r="C145" s="1405" t="s">
        <v>4021</v>
      </c>
      <c r="D145" s="1405" t="str">
        <f>VLOOKUP(G145,'Baumaterialien Matériaux'!$A$10:$AD$434,30,FALSE)</f>
        <v>Gravier concassé 1</v>
      </c>
      <c r="E145" s="1405"/>
      <c r="F145" s="1405" t="str">
        <f>VLOOKUP(G145,'Baumaterialien Matériaux'!$A$10:$AD$434,7,FALSE)</f>
        <v>kg</v>
      </c>
      <c r="G145" s="1405" t="s">
        <v>816</v>
      </c>
      <c r="H145" s="1405">
        <f>1500*0.2</f>
        <v>300</v>
      </c>
      <c r="I145" s="1405"/>
      <c r="J145" s="1568">
        <v>60</v>
      </c>
      <c r="K145" s="1586">
        <f>$H145*_xlfn.XLOOKUP($G145,'Baumaterialien Matériaux'!$A:$A,'Baumaterialien Matériaux'!V:V,0,0)</f>
        <v>9.629999999999999</v>
      </c>
      <c r="L145" s="1586">
        <f>$H145*_xlfn.XLOOKUP($G145,'Baumaterialien Matériaux'!$A:$A,'Baumaterialien Matériaux'!Y:Y,0,0)</f>
        <v>15.780000000000001</v>
      </c>
      <c r="M145" s="1586">
        <f>$H145*_xlfn.XLOOKUP($G145,'Baumaterialien Matériaux'!$A:$A,'Baumaterialien Matériaux'!AA:AA,0,0)</f>
        <v>1.5029999999999999</v>
      </c>
      <c r="N145" s="1586">
        <f>$H145*_xlfn.XLOOKUP($G145,'Baumaterialien Matériaux'!$A:$A,'Baumaterialien Matériaux'!AB:AB,0,0)</f>
        <v>3.7800000000000002</v>
      </c>
      <c r="O145" s="1586">
        <f>$H145*_xlfn.XLOOKUP($G145,'Baumaterialien Matériaux'!$A:$A,'Baumaterialien Matériaux'!AC:AC,0,0)*44/12</f>
        <v>0</v>
      </c>
      <c r="P145" s="1586">
        <f>$H145*_xlfn.XLOOKUP($G145,'Baumaterialien Matériaux'!$A:$A,'Baumaterialien Matériaux'!AG:AG,0,0)</f>
        <v>0</v>
      </c>
      <c r="Q145" s="1586">
        <f>$H145*_xlfn.XLOOKUP($G145,'Baumaterialien Matériaux'!$A:$A,'Baumaterialien Matériaux'!AH:AH,0,0)</f>
        <v>0</v>
      </c>
      <c r="S145" s="133"/>
      <c r="T145" s="805"/>
    </row>
    <row r="146" spans="1:20">
      <c r="A146" s="258"/>
      <c r="B146" s="1571" t="s">
        <v>3999</v>
      </c>
      <c r="C146" s="1405" t="s">
        <v>4016</v>
      </c>
      <c r="D146" s="1405" t="str">
        <f>VLOOKUP(G146,'Transporte Transports'!$A$10:$AD$432,27,FALSE)</f>
        <v>Excavations mécaniques, en moyenne</v>
      </c>
      <c r="E146" s="1405"/>
      <c r="F146" s="1405" t="str">
        <f>VLOOKUP(G146,'Transporte Transports'!$A$10:$AD$432,5,FALSE)</f>
        <v>m3</v>
      </c>
      <c r="G146" s="1405" t="s">
        <v>519</v>
      </c>
      <c r="H146" s="1405">
        <v>0.6</v>
      </c>
      <c r="I146" s="1405"/>
      <c r="J146" s="1568">
        <v>60</v>
      </c>
      <c r="K146" s="1586">
        <f>$H146*_xlfn.XLOOKUP($G146,'Transporte Transports'!$A:$A,'Transporte Transports'!R:R,0,0)</f>
        <v>0.98399999999999987</v>
      </c>
      <c r="L146" s="1586"/>
      <c r="M146" s="1569">
        <f>$H146*_xlfn.XLOOKUP($G146,'Transporte Transports'!$A:$A,'Transporte Transports'!V:V,0,0)</f>
        <v>0.25979999999999998</v>
      </c>
      <c r="N146" s="1569"/>
      <c r="O146" s="1586"/>
      <c r="P146" s="1586"/>
      <c r="Q146" s="1586"/>
      <c r="S146" s="133"/>
    </row>
    <row r="147" spans="1:20" ht="16.5" thickBot="1">
      <c r="A147" s="856"/>
      <c r="B147" s="856"/>
      <c r="C147" s="856"/>
      <c r="D147" s="856"/>
      <c r="E147" s="856"/>
      <c r="F147" s="856"/>
      <c r="G147" s="856"/>
      <c r="H147" s="856"/>
      <c r="I147" s="856"/>
      <c r="J147" s="856"/>
      <c r="K147" s="856">
        <f>SUM(K141:K146)</f>
        <v>412.37996666666658</v>
      </c>
      <c r="L147" s="856">
        <f t="shared" ref="L147:Q147" si="20">SUM(L141:L146)</f>
        <v>37.302239999999998</v>
      </c>
      <c r="M147" s="856">
        <f t="shared" si="20"/>
        <v>66.641983333333343</v>
      </c>
      <c r="N147" s="856">
        <f t="shared" si="20"/>
        <v>9.007836666666666</v>
      </c>
      <c r="O147" s="856">
        <f t="shared" si="20"/>
        <v>0</v>
      </c>
      <c r="P147" s="856">
        <f t="shared" si="20"/>
        <v>0</v>
      </c>
      <c r="Q147" s="856">
        <f t="shared" si="20"/>
        <v>0</v>
      </c>
      <c r="S147" s="1190">
        <f>(M147+N147)/J146</f>
        <v>1.2608303333333335</v>
      </c>
      <c r="T147" s="805"/>
    </row>
    <row r="148" spans="1:20" ht="16.5" thickTop="1">
      <c r="A148" s="1070"/>
      <c r="B148" s="1070"/>
      <c r="C148" s="1070"/>
      <c r="D148" s="1070"/>
      <c r="E148" s="1070"/>
      <c r="F148" s="1070"/>
      <c r="G148" s="1070"/>
      <c r="H148" s="1070"/>
      <c r="I148" s="1070"/>
      <c r="J148" s="1070"/>
      <c r="K148" s="1070"/>
      <c r="L148" s="1070"/>
      <c r="M148" s="1070"/>
      <c r="N148" s="1070"/>
      <c r="O148" s="1070"/>
      <c r="P148" s="1070"/>
      <c r="Q148" s="1070"/>
      <c r="S148" s="1190"/>
      <c r="T148" s="805"/>
    </row>
    <row r="150" spans="1:20">
      <c r="A150" s="1096" t="s">
        <v>4040</v>
      </c>
      <c r="B150" s="1907" t="s">
        <v>3771</v>
      </c>
      <c r="C150" s="1590" t="s">
        <v>3774</v>
      </c>
      <c r="D150" s="1590" t="str">
        <f>VLOOKUP(G150,'Transporte Transports'!$A$10:$AD$432,27,FALSE)</f>
        <v>Excavations mécaniques, en moyenne</v>
      </c>
      <c r="E150" s="1590"/>
      <c r="F150" s="1590" t="str">
        <f>VLOOKUP(G150,'Transporte Transports'!$A$10:$AD$432,5,FALSE)</f>
        <v>m3</v>
      </c>
      <c r="G150" s="1590" t="s">
        <v>519</v>
      </c>
      <c r="H150" s="1591">
        <v>0.4</v>
      </c>
      <c r="I150" s="166"/>
      <c r="J150" s="1241">
        <v>60</v>
      </c>
      <c r="K150" s="1586">
        <f>$H150*_xlfn.XLOOKUP($G150,'Transporte Transports'!$A:$A,'Transporte Transports'!R:R,0,0)</f>
        <v>0.65600000000000003</v>
      </c>
      <c r="L150" s="530"/>
      <c r="M150" s="1244">
        <f>$H150*_xlfn.XLOOKUP($G150,'Transporte Transports'!$A:$A,'Transporte Transports'!V:V,0,0)</f>
        <v>0.17320000000000002</v>
      </c>
      <c r="N150" s="530"/>
      <c r="O150" s="530"/>
      <c r="P150" s="530">
        <f>$H150*_xlfn.XLOOKUP($G150,'Baumaterialien Matériaux'!$A:$A,'Baumaterialien Matériaux'!AG:AG,0,0)</f>
        <v>0</v>
      </c>
      <c r="Q150" s="1110">
        <f>$H150*_xlfn.XLOOKUP($G150,'Baumaterialien Matériaux'!$A:$A,'Baumaterialien Matériaux'!AH:AH,0,0)</f>
        <v>0</v>
      </c>
      <c r="S150" s="133"/>
      <c r="T150" s="1910"/>
    </row>
    <row r="151" spans="1:20">
      <c r="A151" s="159"/>
      <c r="B151" s="1908"/>
      <c r="C151" s="1590" t="s">
        <v>4035</v>
      </c>
      <c r="D151" s="1590" t="str">
        <f>VLOOKUP(G151,'Baumaterialien Matériaux'!$A$10:$AD$434,30,FALSE)</f>
        <v>Gravier concassé 1</v>
      </c>
      <c r="E151" s="1590"/>
      <c r="F151" s="1590" t="str">
        <f>_xlfn.XLOOKUP($G151,'Baumaterialien Matériaux'!$A:$A,'Baumaterialien Matériaux'!G:G,0,0)</f>
        <v>kg</v>
      </c>
      <c r="G151" s="1590" t="s">
        <v>816</v>
      </c>
      <c r="H151" s="1592">
        <f>1500*0.2</f>
        <v>300</v>
      </c>
      <c r="I151" s="166"/>
      <c r="J151" s="1241">
        <v>60</v>
      </c>
      <c r="K151" s="1586">
        <f>$H151*_xlfn.XLOOKUP($G151,'Baumaterialien Matériaux'!$A:$A,'Baumaterialien Matériaux'!V:V,0,0)</f>
        <v>9.629999999999999</v>
      </c>
      <c r="L151" s="1586">
        <f>$H151*_xlfn.XLOOKUP($G151,'Baumaterialien Matériaux'!$A:$A,'Baumaterialien Matériaux'!Y:Y,0,0)</f>
        <v>15.780000000000001</v>
      </c>
      <c r="M151" s="530">
        <f>$H151*_xlfn.XLOOKUP($G151,'Baumaterialien Matériaux'!$A:$A,'Baumaterialien Matériaux'!AA:AA,0,0)</f>
        <v>1.5029999999999999</v>
      </c>
      <c r="N151" s="530">
        <f>$H151*_xlfn.XLOOKUP($G151,'Baumaterialien Matériaux'!$A:$A,'Baumaterialien Matériaux'!AB:AB,0,0)</f>
        <v>3.7800000000000002</v>
      </c>
      <c r="O151" s="530">
        <f>$H151*_xlfn.XLOOKUP($G151,'Baumaterialien Matériaux'!$A:$A,'Baumaterialien Matériaux'!AC:AC,0,0)*44/12</f>
        <v>0</v>
      </c>
      <c r="P151" s="530">
        <f>$H151*_xlfn.XLOOKUP($G151,'Baumaterialien Matériaux'!$A:$A,'Baumaterialien Matériaux'!AG:AG,0,0)</f>
        <v>0</v>
      </c>
      <c r="Q151" s="1110">
        <f>$H151*_xlfn.XLOOKUP($G151,'Baumaterialien Matériaux'!$A:$A,'Baumaterialien Matériaux'!AH:AH,0,0)</f>
        <v>0</v>
      </c>
      <c r="S151" s="133"/>
      <c r="T151" s="1910"/>
    </row>
    <row r="152" spans="1:20">
      <c r="A152" s="159"/>
      <c r="B152" s="1909"/>
      <c r="C152" s="1593" t="s">
        <v>4049</v>
      </c>
      <c r="D152" s="1593" t="s">
        <v>4033</v>
      </c>
      <c r="E152" s="1593"/>
      <c r="F152" s="1593" t="s">
        <v>268</v>
      </c>
      <c r="G152" s="1405" t="s">
        <v>568</v>
      </c>
      <c r="H152" s="1574">
        <f>2400*0.07</f>
        <v>168.00000000000003</v>
      </c>
      <c r="I152" s="166"/>
      <c r="J152" s="1241">
        <v>60</v>
      </c>
      <c r="K152" s="1567">
        <f>$H152*2.91*0.28</f>
        <v>136.88640000000004</v>
      </c>
      <c r="L152" s="1586">
        <f>$H152*_xlfn.XLOOKUP($G152,'Baumaterialien Matériaux'!$A:$A,'Baumaterialien Matériaux'!Y:Y,0,0)</f>
        <v>8.6688000000000009</v>
      </c>
      <c r="M152" s="1248">
        <f>$H152*0.082767</f>
        <v>13.904856000000001</v>
      </c>
      <c r="N152" s="530">
        <f>0.019*H152</f>
        <v>3.1920000000000006</v>
      </c>
      <c r="O152" s="1574"/>
      <c r="P152" s="1574"/>
      <c r="Q152" s="1575"/>
      <c r="S152" s="133"/>
      <c r="T152" s="1910"/>
    </row>
    <row r="153" spans="1:20">
      <c r="A153" s="159"/>
      <c r="B153" s="1907"/>
      <c r="C153" s="1593" t="s">
        <v>4050</v>
      </c>
      <c r="D153" s="1593" t="s">
        <v>4033</v>
      </c>
      <c r="E153" s="1593"/>
      <c r="F153" s="1593" t="s">
        <v>268</v>
      </c>
      <c r="G153" s="1405" t="s">
        <v>568</v>
      </c>
      <c r="H153" s="1574">
        <f>2400*0.04</f>
        <v>96</v>
      </c>
      <c r="I153" s="166"/>
      <c r="J153" s="1241">
        <v>60</v>
      </c>
      <c r="K153" s="1567">
        <f>$H153*3.97*0.28</f>
        <v>106.71360000000001</v>
      </c>
      <c r="L153" s="1586">
        <f>$H153*_xlfn.XLOOKUP($G153,'Baumaterialien Matériaux'!$A:$A,'Baumaterialien Matériaux'!Y:Y,0,0)</f>
        <v>4.9535999999999998</v>
      </c>
      <c r="M153" s="1248">
        <f>$H153*0.082767</f>
        <v>7.9456319999999998</v>
      </c>
      <c r="N153" s="530">
        <f>0.019*H153</f>
        <v>1.8239999999999998</v>
      </c>
      <c r="O153" s="530">
        <f>$H153*_xlfn.XLOOKUP($G153,'Baumaterialien Matériaux'!$A:$A,'Baumaterialien Matériaux'!AC:AC,0,0)*44/12</f>
        <v>0</v>
      </c>
      <c r="P153" s="530">
        <f>$H153*_xlfn.XLOOKUP($G153,'Baumaterialien Matériaux'!$A:$A,'Baumaterialien Matériaux'!AG:AG,0,0)</f>
        <v>0</v>
      </c>
      <c r="Q153" s="1110">
        <f>$H153*_xlfn.XLOOKUP($G153,'Baumaterialien Matériaux'!$A:$A,'Baumaterialien Matériaux'!AH:AH,0,0)</f>
        <v>0</v>
      </c>
      <c r="S153" s="133"/>
      <c r="T153" s="1910"/>
    </row>
    <row r="154" spans="1:20" ht="16.5" thickBot="1">
      <c r="A154" s="572"/>
      <c r="B154" s="619"/>
      <c r="C154" s="590"/>
      <c r="D154" s="590"/>
      <c r="E154" s="590"/>
      <c r="F154" s="590"/>
      <c r="G154" s="590"/>
      <c r="H154" s="1103"/>
      <c r="I154" s="590"/>
      <c r="J154" s="1246"/>
      <c r="K154" s="612"/>
      <c r="L154" s="612"/>
      <c r="M154" s="853">
        <f>SUM(M150:M153)</f>
        <v>23.526688</v>
      </c>
      <c r="N154" s="853">
        <f>SUM(N150:N153)</f>
        <v>8.7960000000000012</v>
      </c>
      <c r="O154" s="853">
        <f>SUM(O150:O153)</f>
        <v>0</v>
      </c>
      <c r="P154" s="853">
        <f>SUM(P150:P153)</f>
        <v>0</v>
      </c>
      <c r="Q154" s="853">
        <f>SUM(Q150:Q153)</f>
        <v>0</v>
      </c>
      <c r="S154" s="1190">
        <f>(M154+N154)/J153</f>
        <v>0.53871146666666669</v>
      </c>
      <c r="T154" s="805"/>
    </row>
    <row r="155" spans="1:20" ht="16.5" thickTop="1"/>
  </sheetData>
  <mergeCells count="21">
    <mergeCell ref="T21:T25"/>
    <mergeCell ref="T32:T35"/>
    <mergeCell ref="T46:T50"/>
    <mergeCell ref="T61:T65"/>
    <mergeCell ref="B5:B7"/>
    <mergeCell ref="T5:T7"/>
    <mergeCell ref="B10:B12"/>
    <mergeCell ref="B15:B17"/>
    <mergeCell ref="T15:T17"/>
    <mergeCell ref="B150:B153"/>
    <mergeCell ref="T150:T153"/>
    <mergeCell ref="T76:T80"/>
    <mergeCell ref="T83:T87"/>
    <mergeCell ref="T90:T94"/>
    <mergeCell ref="T97:T102"/>
    <mergeCell ref="T105:T109"/>
    <mergeCell ref="T112:T116"/>
    <mergeCell ref="T119:T123"/>
    <mergeCell ref="T126:T130"/>
    <mergeCell ref="T134:T138"/>
    <mergeCell ref="T141:T144"/>
  </mergeCells>
  <phoneticPr fontId="68" type="noConversion"/>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7C7D-5D58-E649-81D4-A010168EADC0}">
  <sheetPr codeName="Feuil14">
    <tabColor theme="2"/>
    <pageSetUpPr autoPageBreaks="0"/>
  </sheetPr>
  <dimension ref="A1:X95"/>
  <sheetViews>
    <sheetView workbookViewId="0"/>
  </sheetViews>
  <sheetFormatPr baseColWidth="10" defaultColWidth="10.75" defaultRowHeight="14.25"/>
  <cols>
    <col min="1" max="2" width="62.75" style="3" bestFit="1" customWidth="1"/>
    <col min="3" max="3" width="2.875" style="3" customWidth="1"/>
    <col min="4" max="5" width="50.75" style="3" customWidth="1"/>
    <col min="6" max="6" width="5.5" style="3" customWidth="1"/>
    <col min="7" max="7" width="10.75" style="3"/>
    <col min="8" max="8" width="13.5" style="3" customWidth="1"/>
    <col min="9" max="9" width="2.75" style="3" customWidth="1" collapsed="1"/>
    <col min="10" max="12" width="11.875" style="3" bestFit="1" customWidth="1" collapsed="1"/>
    <col min="13" max="14" width="12.25" style="3" customWidth="1" collapsed="1"/>
    <col min="15" max="15" width="12.25" style="3" customWidth="1"/>
    <col min="16" max="17" width="12.25" style="3" customWidth="1" collapsed="1"/>
    <col min="18" max="18" width="10.75" style="3"/>
    <col min="19" max="19" width="12.375" style="3" bestFit="1" customWidth="1"/>
    <col min="20" max="16384" width="10.75" style="3"/>
  </cols>
  <sheetData>
    <row r="1" spans="1:24" ht="75">
      <c r="B1" s="1" t="s">
        <v>502</v>
      </c>
      <c r="C1" s="1" t="s">
        <v>503</v>
      </c>
      <c r="D1" s="1" t="s">
        <v>504</v>
      </c>
      <c r="E1" s="1"/>
      <c r="F1" s="125" t="s">
        <v>505</v>
      </c>
      <c r="G1" s="1" t="s">
        <v>506</v>
      </c>
      <c r="H1" s="125" t="s">
        <v>507</v>
      </c>
      <c r="J1" s="125" t="s">
        <v>508</v>
      </c>
      <c r="K1" s="125" t="s">
        <v>509</v>
      </c>
      <c r="L1" s="125" t="s">
        <v>510</v>
      </c>
      <c r="M1" s="125" t="s">
        <v>511</v>
      </c>
      <c r="N1" s="125" t="s">
        <v>512</v>
      </c>
      <c r="O1" s="125" t="s">
        <v>513</v>
      </c>
      <c r="P1" s="125" t="s">
        <v>514</v>
      </c>
      <c r="Q1" s="125" t="s">
        <v>515</v>
      </c>
      <c r="R1"/>
      <c r="S1" s="125"/>
      <c r="T1" s="125"/>
      <c r="U1"/>
    </row>
    <row r="2" spans="1:24" s="964" customFormat="1" ht="15.75">
      <c r="B2" s="965"/>
      <c r="C2" s="965"/>
      <c r="D2" s="965"/>
      <c r="E2" s="965"/>
      <c r="F2" s="965"/>
      <c r="G2" s="965"/>
      <c r="H2" s="966"/>
      <c r="I2" s="966">
        <v>0</v>
      </c>
      <c r="J2" s="966">
        <v>0</v>
      </c>
      <c r="K2" s="966">
        <v>0</v>
      </c>
      <c r="L2" s="966">
        <v>0</v>
      </c>
      <c r="M2" s="966">
        <v>0</v>
      </c>
      <c r="N2" s="966">
        <v>0</v>
      </c>
      <c r="O2" s="966">
        <v>0</v>
      </c>
      <c r="P2" s="966">
        <v>0</v>
      </c>
      <c r="Q2" s="966">
        <v>0</v>
      </c>
      <c r="R2" s="966"/>
      <c r="S2" s="966"/>
      <c r="T2" s="966"/>
      <c r="U2" s="967"/>
      <c r="V2" s="967"/>
      <c r="W2" s="967"/>
      <c r="X2" s="967"/>
    </row>
    <row r="3" spans="1:24" ht="15">
      <c r="A3" s="132" t="s">
        <v>516</v>
      </c>
      <c r="B3" s="132" t="str">
        <f>'Outil détaillé'!D5</f>
        <v>Fouilles</v>
      </c>
      <c r="C3" s="132"/>
      <c r="D3" s="132"/>
      <c r="E3" s="132"/>
      <c r="F3" s="132"/>
      <c r="G3" s="132"/>
      <c r="H3" s="133"/>
      <c r="I3" s="132"/>
      <c r="J3" s="134"/>
      <c r="K3" s="134"/>
      <c r="L3" s="134"/>
      <c r="M3" s="134"/>
      <c r="N3" s="134"/>
      <c r="O3" s="134"/>
      <c r="P3" s="134"/>
      <c r="Q3" s="134"/>
    </row>
    <row r="4" spans="1:24" s="540" customFormat="1">
      <c r="A4" s="538" t="s">
        <v>517</v>
      </c>
      <c r="B4" s="538" t="s">
        <v>518</v>
      </c>
      <c r="C4" s="538"/>
      <c r="D4" s="539" t="str">
        <f>VLOOKUP($G4,'Transporte Transports'!$A$10:$AE$432,26,FALSE)</f>
        <v>Vol.excavation</v>
      </c>
      <c r="E4" s="1789"/>
      <c r="F4" s="539" t="s">
        <v>87</v>
      </c>
      <c r="G4" s="538" t="s">
        <v>519</v>
      </c>
      <c r="H4" s="539">
        <v>1</v>
      </c>
      <c r="I4" s="538"/>
      <c r="J4" s="538">
        <v>60</v>
      </c>
      <c r="K4" s="538">
        <f>$H4*_xlfn.XLOOKUP($G4, 'Transporte Transports'!$A:$A,'Transporte Transports'!R:R,0)</f>
        <v>1.64</v>
      </c>
      <c r="L4" s="538"/>
      <c r="M4" s="538">
        <f>$H4*_xlfn.XLOOKUP($G4, 'Transporte Transports'!$A:$A,'Transporte Transports'!V:V,0)</f>
        <v>0.433</v>
      </c>
      <c r="N4" s="538">
        <v>0</v>
      </c>
      <c r="O4" s="538"/>
      <c r="P4" s="538"/>
      <c r="Q4" s="538"/>
      <c r="S4" s="1189"/>
    </row>
    <row r="5" spans="1:24" s="540" customFormat="1">
      <c r="B5" s="540" t="s">
        <v>520</v>
      </c>
      <c r="D5" s="539" t="str">
        <f>VLOOKUP($G5,'Transporte Transports'!$A$10:$AE$432,26,FALSE)</f>
        <v>Rend.du transp.</v>
      </c>
      <c r="E5" s="1790"/>
      <c r="F5" s="702" t="s">
        <v>498</v>
      </c>
      <c r="G5" s="124" t="s">
        <v>497</v>
      </c>
      <c r="H5" s="702">
        <f>H4*Hypothèses!D8*1.8</f>
        <v>108</v>
      </c>
      <c r="J5" s="540">
        <v>60</v>
      </c>
      <c r="S5" s="1189"/>
    </row>
    <row r="6" spans="1:24">
      <c r="S6" s="1189"/>
    </row>
    <row r="7" spans="1:24" ht="16.5" customHeight="1">
      <c r="A7" s="132" t="s">
        <v>521</v>
      </c>
      <c r="B7" s="132"/>
      <c r="C7" s="132"/>
      <c r="D7" s="132"/>
      <c r="E7" s="132"/>
      <c r="F7" s="132"/>
      <c r="G7" s="132"/>
      <c r="H7" s="133" t="s">
        <v>522</v>
      </c>
      <c r="I7" s="132"/>
      <c r="J7" s="134"/>
      <c r="K7" s="134"/>
      <c r="L7" s="134"/>
      <c r="M7" s="134"/>
      <c r="N7" s="134"/>
      <c r="O7" s="134"/>
      <c r="P7" s="134"/>
      <c r="Q7" s="134"/>
      <c r="S7" s="1189"/>
    </row>
    <row r="8" spans="1:24" s="134" customFormat="1">
      <c r="A8" s="970" t="s">
        <v>523</v>
      </c>
      <c r="B8" s="134" t="str">
        <f>'Outil détaillé'!D7</f>
        <v xml:space="preserve">Enceintes de fouilles </v>
      </c>
      <c r="H8" s="134" t="s">
        <v>87</v>
      </c>
      <c r="S8" s="1189"/>
    </row>
    <row r="9" spans="1:24" s="531" customFormat="1" ht="14.25" customHeight="1">
      <c r="A9" s="961"/>
      <c r="D9" s="968" t="str">
        <f>VLOOKUP($G9,'Baumaterialien Matériaux'!$A$10:$AD$432,30,FALSE)</f>
        <v>Blindage de fouille, paroi berlinoise, en porte-à-faux</v>
      </c>
      <c r="E9" s="968"/>
      <c r="F9" s="167" t="str">
        <f>_xlfn.XLOOKUP($G9,'Baumaterialien Matériaux'!$A:$A,'Baumaterialien Matériaux'!G:G,0,0)</f>
        <v>m2</v>
      </c>
      <c r="G9" s="531" t="s">
        <v>524</v>
      </c>
      <c r="H9" s="531">
        <v>1</v>
      </c>
      <c r="J9" s="969">
        <v>60</v>
      </c>
      <c r="K9" s="969">
        <f>$H9*_xlfn.XLOOKUP($G9,'Baumaterialien Matériaux'!$A:$A,'Baumaterialien Matériaux'!V:V,0,0)</f>
        <v>817</v>
      </c>
      <c r="L9" s="969">
        <f>$H9*_xlfn.XLOOKUP($G9,'Baumaterialien Matériaux'!$A:$A,'Baumaterialien Matériaux'!Y:Y,0,0)</f>
        <v>57.6</v>
      </c>
      <c r="M9" s="969">
        <f>$H9*_xlfn.XLOOKUP($G9,'Baumaterialien Matériaux'!$A:$A,'Baumaterialien Matériaux'!AA:AA,0,0)</f>
        <v>256</v>
      </c>
      <c r="N9" s="969">
        <f>$H9*_xlfn.XLOOKUP($G9,'Baumaterialien Matériaux'!$A:$A,'Baumaterialien Matériaux'!AB:AB,0,0)</f>
        <v>14.2</v>
      </c>
      <c r="O9" s="969"/>
      <c r="P9" s="969">
        <f>$H9*_xlfn.XLOOKUP($G9,'Baumaterialien Matériaux'!$A:$A,'Baumaterialien Matériaux'!AG:AG,0,0)</f>
        <v>0</v>
      </c>
      <c r="Q9" s="969">
        <f>$H9*_xlfn.XLOOKUP($G9,'Baumaterialien Matériaux'!$A:$A,'Baumaterialien Matériaux'!AH:AH,0,0)</f>
        <v>0</v>
      </c>
      <c r="S9" s="702"/>
    </row>
    <row r="10" spans="1:24" s="538" customFormat="1">
      <c r="A10" s="539" t="str">
        <f>D10</f>
        <v>Blindage de fouille, paroi berlinoise, étayé</v>
      </c>
      <c r="D10" s="539" t="str">
        <f>VLOOKUP($G10,'Baumaterialien Matériaux'!$A$10:$AD$432,30,FALSE)</f>
        <v>Blindage de fouille, paroi berlinoise, étayé</v>
      </c>
      <c r="E10" s="1789"/>
      <c r="F10" s="167" t="str">
        <f>_xlfn.XLOOKUP($G10,'Baumaterialien Matériaux'!$A:$A,'Baumaterialien Matériaux'!G:G,0,0)</f>
        <v>m2</v>
      </c>
      <c r="G10" s="538" t="s">
        <v>525</v>
      </c>
      <c r="H10" s="538">
        <v>1</v>
      </c>
      <c r="J10" s="541">
        <v>60</v>
      </c>
      <c r="K10" s="541">
        <f>$H10*_xlfn.XLOOKUP($G10,'Baumaterialien Matériaux'!$A:$A,'Baumaterialien Matériaux'!V:V,0,0)</f>
        <v>603</v>
      </c>
      <c r="L10" s="541">
        <f>$H10*_xlfn.XLOOKUP($G10,'Baumaterialien Matériaux'!$A:$A,'Baumaterialien Matériaux'!Y:Y,0,0)</f>
        <v>33.799999999999997</v>
      </c>
      <c r="M10" s="541">
        <f>$H10*_xlfn.XLOOKUP($G10,'Baumaterialien Matériaux'!$A:$A,'Baumaterialien Matériaux'!AA:AA,0,0)</f>
        <v>178</v>
      </c>
      <c r="N10" s="541">
        <f>$H10*_xlfn.XLOOKUP($G10,'Baumaterialien Matériaux'!$A:$A,'Baumaterialien Matériaux'!AB:AB,0,0)</f>
        <v>8.26</v>
      </c>
      <c r="O10" s="541"/>
      <c r="P10" s="541">
        <f>$H10*_xlfn.XLOOKUP($G10,'Baumaterialien Matériaux'!$A:$A,'Baumaterialien Matériaux'!AG:AG,0,0)</f>
        <v>0</v>
      </c>
      <c r="Q10" s="541">
        <f>$H10*_xlfn.XLOOKUP($G10,'Baumaterialien Matériaux'!$A:$A,'Baumaterialien Matériaux'!AH:AH,0,0)</f>
        <v>0</v>
      </c>
      <c r="S10" s="702"/>
    </row>
    <row r="11" spans="1:24" s="166" customFormat="1">
      <c r="A11" s="165"/>
      <c r="D11" s="167" t="str">
        <f>VLOOKUP($G11,'Baumaterialien Matériaux'!$A$10:$AD$432,30,FALSE)</f>
        <v>Blindage de fouille, paroi berlinoise, fixe</v>
      </c>
      <c r="E11" s="1791"/>
      <c r="F11" s="167" t="str">
        <f>_xlfn.XLOOKUP($G11,'Baumaterialien Matériaux'!$A:$A,'Baumaterialien Matériaux'!G:G,0,0)</f>
        <v>m2</v>
      </c>
      <c r="G11" s="166" t="s">
        <v>526</v>
      </c>
      <c r="H11" s="166">
        <v>1</v>
      </c>
      <c r="J11" s="514">
        <v>60</v>
      </c>
      <c r="K11" s="514">
        <f>$H11*_xlfn.XLOOKUP($G11,'Baumaterialien Matériaux'!$A:$A,'Baumaterialien Matériaux'!V:V,0,0)</f>
        <v>602</v>
      </c>
      <c r="L11" s="514">
        <f>$H11*_xlfn.XLOOKUP($G11,'Baumaterialien Matériaux'!$A:$A,'Baumaterialien Matériaux'!Y:Y,0,0)</f>
        <v>39</v>
      </c>
      <c r="M11" s="514">
        <f>$H11*_xlfn.XLOOKUP($G11,'Baumaterialien Matériaux'!$A:$A,'Baumaterialien Matériaux'!AA:AA,0,0)</f>
        <v>187</v>
      </c>
      <c r="N11" s="514">
        <f>$H11*_xlfn.XLOOKUP($G11,'Baumaterialien Matériaux'!$A:$A,'Baumaterialien Matériaux'!AB:AB,0,0)</f>
        <v>9.5399999999999991</v>
      </c>
      <c r="O11" s="514"/>
      <c r="P11" s="514">
        <f>$H11*_xlfn.XLOOKUP($G11,'Baumaterialien Matériaux'!$A:$A,'Baumaterialien Matériaux'!AG:AG,0,0)</f>
        <v>0</v>
      </c>
      <c r="Q11" s="514">
        <f>$H11*_xlfn.XLOOKUP($G11,'Baumaterialien Matériaux'!$A:$A,'Baumaterialien Matériaux'!AH:AH,0,0)</f>
        <v>0</v>
      </c>
      <c r="S11" s="702"/>
    </row>
    <row r="12" spans="1:24" s="166" customFormat="1">
      <c r="A12" s="166" t="str">
        <f>D12</f>
        <v>Blindage de fouille, paroi moulée, 400 mm</v>
      </c>
      <c r="D12" s="167" t="str">
        <f>VLOOKUP($G12,'Baumaterialien Matériaux'!$A$10:$AD$432,30,FALSE)</f>
        <v>Blindage de fouille, paroi moulée, 400 mm</v>
      </c>
      <c r="E12" s="1791"/>
      <c r="F12" s="167" t="str">
        <f>_xlfn.XLOOKUP($G12,'Baumaterialien Matériaux'!$A:$A,'Baumaterialien Matériaux'!G:G,0,0)</f>
        <v>m2</v>
      </c>
      <c r="G12" s="166" t="s">
        <v>527</v>
      </c>
      <c r="H12" s="166">
        <v>1</v>
      </c>
      <c r="J12" s="514">
        <v>60</v>
      </c>
      <c r="K12" s="514">
        <f>$H12*_xlfn.XLOOKUP($G12,'Baumaterialien Matériaux'!$A:$A,'Baumaterialien Matériaux'!V:V,0,0)</f>
        <v>1040</v>
      </c>
      <c r="L12" s="514">
        <f>$H12*_xlfn.XLOOKUP($G12,'Baumaterialien Matériaux'!$A:$A,'Baumaterialien Matériaux'!Y:Y,0,0)</f>
        <v>124</v>
      </c>
      <c r="M12" s="514">
        <f>$H12*_xlfn.XLOOKUP($G12,'Baumaterialien Matériaux'!$A:$A,'Baumaterialien Matériaux'!AA:AA,0,0)</f>
        <v>393</v>
      </c>
      <c r="N12" s="514">
        <f>$H12*_xlfn.XLOOKUP($G12,'Baumaterialien Matériaux'!$A:$A,'Baumaterialien Matériaux'!AB:AB,0,0)</f>
        <v>30.3</v>
      </c>
      <c r="O12" s="514"/>
      <c r="P12" s="514">
        <f>$H12*_xlfn.XLOOKUP($G12,'Baumaterialien Matériaux'!$A:$A,'Baumaterialien Matériaux'!AG:AG,0,0)</f>
        <v>0</v>
      </c>
      <c r="Q12" s="514">
        <f>$H12*_xlfn.XLOOKUP($G12,'Baumaterialien Matériaux'!$A:$A,'Baumaterialien Matériaux'!AH:AH,0,0)</f>
        <v>0</v>
      </c>
      <c r="S12" s="702"/>
    </row>
    <row r="13" spans="1:24" s="166" customFormat="1">
      <c r="A13" s="165"/>
      <c r="D13" s="167" t="str">
        <f>VLOOKUP($G13,'Baumaterialien Matériaux'!$A$10:$AD$432,30,FALSE)</f>
        <v>Blindage de fouille, paroi moulée, 800 mm</v>
      </c>
      <c r="E13" s="1791"/>
      <c r="F13" s="167" t="str">
        <f>_xlfn.XLOOKUP($G13,'Baumaterialien Matériaux'!$A:$A,'Baumaterialien Matériaux'!G:G,0,0)</f>
        <v>m2</v>
      </c>
      <c r="G13" s="166" t="s">
        <v>528</v>
      </c>
      <c r="H13" s="166">
        <v>1</v>
      </c>
      <c r="J13" s="514">
        <v>60</v>
      </c>
      <c r="K13" s="514">
        <f>$H13*_xlfn.XLOOKUP($G13,'Baumaterialien Matériaux'!$A:$A,'Baumaterialien Matériaux'!V:V,0,0)</f>
        <v>1840</v>
      </c>
      <c r="L13" s="514">
        <f>$H13*_xlfn.XLOOKUP($G13,'Baumaterialien Matériaux'!$A:$A,'Baumaterialien Matériaux'!Y:Y,0,0)</f>
        <v>245</v>
      </c>
      <c r="M13" s="514">
        <f>$H13*_xlfn.XLOOKUP($G13,'Baumaterialien Matériaux'!$A:$A,'Baumaterialien Matériaux'!AA:AA,0,0)</f>
        <v>749</v>
      </c>
      <c r="N13" s="514">
        <f>$H13*_xlfn.XLOOKUP($G13,'Baumaterialien Matériaux'!$A:$A,'Baumaterialien Matériaux'!AB:AB,0,0)</f>
        <v>59.9</v>
      </c>
      <c r="O13" s="514"/>
      <c r="P13" s="514">
        <f>$H13*_xlfn.XLOOKUP($G13,'Baumaterialien Matériaux'!$A:$A,'Baumaterialien Matériaux'!AG:AG,0,0)</f>
        <v>0</v>
      </c>
      <c r="Q13" s="514">
        <f>$H13*_xlfn.XLOOKUP($G13,'Baumaterialien Matériaux'!$A:$A,'Baumaterialien Matériaux'!AH:AH,0,0)</f>
        <v>0</v>
      </c>
      <c r="S13" s="702"/>
    </row>
    <row r="14" spans="1:24" s="166" customFormat="1">
      <c r="A14" s="166" t="str">
        <f>D14</f>
        <v>Blindage de fouille, paroi de palplanche, en porte-à-faux</v>
      </c>
      <c r="D14" s="167" t="str">
        <f>VLOOKUP($G14,'Baumaterialien Matériaux'!$A$10:$AD$432,30,FALSE)</f>
        <v>Blindage de fouille, paroi de palplanche, en porte-à-faux</v>
      </c>
      <c r="E14" s="1791"/>
      <c r="F14" s="167" t="str">
        <f>_xlfn.XLOOKUP($G14,'Baumaterialien Matériaux'!$A:$A,'Baumaterialien Matériaux'!G:G,0,0)</f>
        <v>m2</v>
      </c>
      <c r="G14" s="166" t="s">
        <v>529</v>
      </c>
      <c r="H14" s="166">
        <v>1</v>
      </c>
      <c r="J14" s="514">
        <v>60</v>
      </c>
      <c r="K14" s="514">
        <f>$H14*_xlfn.XLOOKUP($G14,'Baumaterialien Matériaux'!$A:$A,'Baumaterialien Matériaux'!V:V,0,0)</f>
        <v>728</v>
      </c>
      <c r="L14" s="514">
        <f>$H14*_xlfn.XLOOKUP($G14,'Baumaterialien Matériaux'!$A:$A,'Baumaterialien Matériaux'!Y:Y,0,0)</f>
        <v>4.16</v>
      </c>
      <c r="M14" s="514">
        <f>$H14*_xlfn.XLOOKUP($G14,'Baumaterialien Matériaux'!$A:$A,'Baumaterialien Matériaux'!AA:AA,0,0)</f>
        <v>168</v>
      </c>
      <c r="N14" s="514">
        <f>$H14*_xlfn.XLOOKUP($G14,'Baumaterialien Matériaux'!$A:$A,'Baumaterialien Matériaux'!AB:AB,0,0)</f>
        <v>1.06</v>
      </c>
      <c r="O14" s="514"/>
      <c r="P14" s="514">
        <f>$H14*_xlfn.XLOOKUP($G14,'Baumaterialien Matériaux'!$A:$A,'Baumaterialien Matériaux'!AG:AG,0,0)</f>
        <v>0</v>
      </c>
      <c r="Q14" s="514">
        <f>$H14*_xlfn.XLOOKUP($G14,'Baumaterialien Matériaux'!$A:$A,'Baumaterialien Matériaux'!AH:AH,0,0)</f>
        <v>0</v>
      </c>
      <c r="S14" s="702"/>
    </row>
    <row r="15" spans="1:24" s="166" customFormat="1">
      <c r="A15" s="165"/>
      <c r="D15" s="167" t="str">
        <f>VLOOKUP($G15,'Baumaterialien Matériaux'!$A$10:$AD$432,30,FALSE)</f>
        <v>Blindage de fouille, paroi de palplanche, étayé</v>
      </c>
      <c r="E15" s="1791"/>
      <c r="F15" s="167" t="str">
        <f>_xlfn.XLOOKUP($G15,'Baumaterialien Matériaux'!$A:$A,'Baumaterialien Matériaux'!G:G,0,0)</f>
        <v>m2</v>
      </c>
      <c r="G15" s="166" t="s">
        <v>530</v>
      </c>
      <c r="H15" s="166">
        <v>1</v>
      </c>
      <c r="J15" s="514">
        <v>60</v>
      </c>
      <c r="K15" s="514">
        <f>$H15*_xlfn.XLOOKUP($G15,'Baumaterialien Matériaux'!$A:$A,'Baumaterialien Matériaux'!V:V,0,0)</f>
        <v>410</v>
      </c>
      <c r="L15" s="514">
        <f>$H15*_xlfn.XLOOKUP($G15,'Baumaterialien Matériaux'!$A:$A,'Baumaterialien Matériaux'!Y:Y,0,0)</f>
        <v>2.2799999999999998</v>
      </c>
      <c r="M15" s="514">
        <f>$H15*_xlfn.XLOOKUP($G15,'Baumaterialien Matériaux'!$A:$A,'Baumaterialien Matériaux'!AA:AA,0,0)</f>
        <v>95.1</v>
      </c>
      <c r="N15" s="514">
        <f>$H15*_xlfn.XLOOKUP($G15,'Baumaterialien Matériaux'!$A:$A,'Baumaterialien Matériaux'!AB:AB,0,0)</f>
        <v>0.57999999999999996</v>
      </c>
      <c r="O15" s="514"/>
      <c r="P15" s="514">
        <f>$H15*_xlfn.XLOOKUP($G15,'Baumaterialien Matériaux'!$A:$A,'Baumaterialien Matériaux'!AG:AG,0,0)</f>
        <v>0</v>
      </c>
      <c r="Q15" s="514">
        <f>$H15*_xlfn.XLOOKUP($G15,'Baumaterialien Matériaux'!$A:$A,'Baumaterialien Matériaux'!AH:AH,0,0)</f>
        <v>0</v>
      </c>
      <c r="S15" s="702"/>
    </row>
    <row r="16" spans="1:24" s="166" customFormat="1">
      <c r="A16" s="165"/>
      <c r="D16" s="167" t="str">
        <f>VLOOKUP($G16,'Baumaterialien Matériaux'!$A$10:$AD$432,30,FALSE)</f>
        <v>Blindage de fouille, paroi de palplanche, fixe</v>
      </c>
      <c r="E16" s="1791"/>
      <c r="F16" s="167" t="str">
        <f>_xlfn.XLOOKUP($G16,'Baumaterialien Matériaux'!$A:$A,'Baumaterialien Matériaux'!G:G,0,0)</f>
        <v>m2</v>
      </c>
      <c r="G16" s="166" t="s">
        <v>531</v>
      </c>
      <c r="H16" s="166">
        <v>1</v>
      </c>
      <c r="J16" s="514">
        <v>60</v>
      </c>
      <c r="K16" s="514">
        <f>$H16*_xlfn.XLOOKUP($G16,'Baumaterialien Matériaux'!$A:$A,'Baumaterialien Matériaux'!V:V,0,0)</f>
        <v>783</v>
      </c>
      <c r="L16" s="514">
        <f>$H16*_xlfn.XLOOKUP($G16,'Baumaterialien Matériaux'!$A:$A,'Baumaterialien Matériaux'!Y:Y,0,0)</f>
        <v>10</v>
      </c>
      <c r="M16" s="514">
        <f>$H16*_xlfn.XLOOKUP($G16,'Baumaterialien Matériaux'!$A:$A,'Baumaterialien Matériaux'!AA:AA,0,0)</f>
        <v>185</v>
      </c>
      <c r="N16" s="514">
        <f>$H16*_xlfn.XLOOKUP($G16,'Baumaterialien Matériaux'!$A:$A,'Baumaterialien Matériaux'!AB:AB,0,0)</f>
        <v>2.4900000000000002</v>
      </c>
      <c r="O16" s="514"/>
      <c r="P16" s="514">
        <f>$H16*_xlfn.XLOOKUP($G16,'Baumaterialien Matériaux'!$A:$A,'Baumaterialien Matériaux'!AG:AG,0,0)</f>
        <v>0</v>
      </c>
      <c r="Q16" s="514">
        <f>$H16*_xlfn.XLOOKUP($G16,'Baumaterialien Matériaux'!$A:$A,'Baumaterialien Matériaux'!AH:AH,0,0)</f>
        <v>0</v>
      </c>
      <c r="S16" s="702"/>
    </row>
    <row r="17" spans="1:20" s="166" customFormat="1">
      <c r="A17" s="165"/>
      <c r="D17" s="167"/>
      <c r="E17" s="1791"/>
      <c r="F17" s="167"/>
      <c r="J17" s="514"/>
      <c r="K17" s="514"/>
      <c r="L17" s="514"/>
      <c r="M17" s="514"/>
      <c r="N17" s="514"/>
      <c r="O17" s="514"/>
      <c r="P17" s="514">
        <f>$H17*_xlfn.XLOOKUP($G17,'Baumaterialien Matériaux'!$A:$A,'Baumaterialien Matériaux'!AG:AG,0,0)</f>
        <v>0</v>
      </c>
      <c r="Q17" s="514">
        <f>$H17*_xlfn.XLOOKUP($G17,'Baumaterialien Matériaux'!$A:$A,'Baumaterialien Matériaux'!AH:AH,0,0)</f>
        <v>0</v>
      </c>
      <c r="S17" s="702"/>
    </row>
    <row r="18" spans="1:20" s="134" customFormat="1">
      <c r="A18" s="970" t="s">
        <v>532</v>
      </c>
      <c r="B18" s="134" t="str">
        <f>'Outil détaillé'!D8</f>
        <v>Pieux de fondation</v>
      </c>
      <c r="P18" s="134">
        <f>$H18*_xlfn.XLOOKUP($G18,'Baumaterialien Matériaux'!$A:$A,'Baumaterialien Matériaux'!AG:AG,0,0)</f>
        <v>0</v>
      </c>
      <c r="Q18" s="134">
        <f>$H18*_xlfn.XLOOKUP($G18,'Baumaterialien Matériaux'!$A:$A,'Baumaterialien Matériaux'!AH:AH,0,0)</f>
        <v>0</v>
      </c>
      <c r="S18" s="702"/>
    </row>
    <row r="19" spans="1:20" s="166" customFormat="1" ht="15" customHeight="1">
      <c r="A19" s="167" t="str">
        <f>VLOOKUP($G19,'Baumaterialien Matériaux'!$A$10:$AD$432,30,FALSE)</f>
        <v xml:space="preserve">Fondations profondes, micropieu </v>
      </c>
      <c r="B19" s="166" t="s">
        <v>533</v>
      </c>
      <c r="D19" s="167" t="str">
        <f>VLOOKUP($G19,'Baumaterialien Matériaux'!$A$10:$AD$432,30,FALSE)</f>
        <v xml:space="preserve">Fondations profondes, micropieu </v>
      </c>
      <c r="E19" s="1791"/>
      <c r="F19" s="167" t="str">
        <f>_xlfn.XLOOKUP($G19,'Baumaterialien Matériaux'!$A:$A,'Baumaterialien Matériaux'!G:G,0,0)</f>
        <v>m</v>
      </c>
      <c r="G19" s="515" t="s">
        <v>534</v>
      </c>
      <c r="H19" s="167">
        <v>1.5</v>
      </c>
      <c r="J19" s="166">
        <v>60</v>
      </c>
      <c r="K19" s="166">
        <f>$H19*_xlfn.XLOOKUP($G19,'Baumaterialien Matériaux'!$A:$A,'Baumaterialien Matériaux'!V:V,0,0)</f>
        <v>165</v>
      </c>
      <c r="L19" s="166">
        <f>$H19*_xlfn.XLOOKUP($G19,'Baumaterialien Matériaux'!$A:$A,'Baumaterialien Matériaux'!Y:Y,0,0)</f>
        <v>0</v>
      </c>
      <c r="M19" s="166">
        <f>$H19*_xlfn.XLOOKUP($G19,'Baumaterialien Matériaux'!$A:$A,'Baumaterialien Matériaux'!AA:AA,0,0)</f>
        <v>47.099999999999994</v>
      </c>
      <c r="N19" s="166">
        <f>$H19*_xlfn.XLOOKUP($G19,'Baumaterialien Matériaux'!$A:$A,'Baumaterialien Matériaux'!AB:AB,0,0)</f>
        <v>0</v>
      </c>
      <c r="P19" s="166">
        <f>$H19*_xlfn.XLOOKUP($G19,'Baumaterialien Matériaux'!$A:$A,'Baumaterialien Matériaux'!AG:AG,0,0)</f>
        <v>0</v>
      </c>
      <c r="Q19" s="166">
        <f>$H19*_xlfn.XLOOKUP($G19,'Baumaterialien Matériaux'!$A:$A,'Baumaterialien Matériaux'!AH:AH,0,0)</f>
        <v>0</v>
      </c>
      <c r="S19" s="702"/>
    </row>
    <row r="20" spans="1:20" s="166" customFormat="1">
      <c r="A20" s="165"/>
      <c r="D20" s="167" t="str">
        <f>VLOOKUP($G20,'Baumaterialien Matériaux'!$A$10:$AD$432,30,FALSE)</f>
        <v>Fondations profondes, pieu coulé sur site, 900 mm</v>
      </c>
      <c r="E20" s="1791"/>
      <c r="F20" s="167" t="str">
        <f>_xlfn.XLOOKUP($G20,'Baumaterialien Matériaux'!$A:$A,'Baumaterialien Matériaux'!G:G,0,0)</f>
        <v>m</v>
      </c>
      <c r="G20" s="515" t="s">
        <v>535</v>
      </c>
      <c r="H20" s="167">
        <v>1.5</v>
      </c>
      <c r="J20" s="166">
        <v>60</v>
      </c>
      <c r="K20" s="166">
        <f>$H20*_xlfn.XLOOKUP($G20,'Baumaterialien Matériaux'!$A:$A,'Baumaterialien Matériaux'!V:V,0,0)</f>
        <v>757.5</v>
      </c>
      <c r="L20" s="166">
        <f>$H20*_xlfn.XLOOKUP($G20,'Baumaterialien Matériaux'!$A:$A,'Baumaterialien Matériaux'!Y:Y,0,0)</f>
        <v>0</v>
      </c>
      <c r="M20" s="166">
        <f>$H20*_xlfn.XLOOKUP($G20,'Baumaterialien Matériaux'!$A:$A,'Baumaterialien Matériaux'!AA:AA,0,0)</f>
        <v>366</v>
      </c>
      <c r="N20" s="166">
        <f>$H20*_xlfn.XLOOKUP($G20,'Baumaterialien Matériaux'!$A:$A,'Baumaterialien Matériaux'!AB:AB,0,0)</f>
        <v>0</v>
      </c>
      <c r="P20" s="166">
        <f>$H20*_xlfn.XLOOKUP($G20,'Baumaterialien Matériaux'!$A:$A,'Baumaterialien Matériaux'!AG:AG,0,0)</f>
        <v>0</v>
      </c>
      <c r="Q20" s="166">
        <f>$H20*_xlfn.XLOOKUP($G20,'Baumaterialien Matériaux'!$A:$A,'Baumaterialien Matériaux'!AH:AH,0,0)</f>
        <v>0</v>
      </c>
      <c r="S20" s="702"/>
    </row>
    <row r="21" spans="1:20" s="166" customFormat="1">
      <c r="A21" s="167" t="str">
        <f>VLOOKUP($G21,'Baumaterialien Matériaux'!$A$10:$AD$432,30,FALSE)</f>
        <v>Fondations profondes, pieux forés vissés, 660/580 mm</v>
      </c>
      <c r="B21" s="166" t="s">
        <v>536</v>
      </c>
      <c r="D21" s="167" t="str">
        <f>VLOOKUP($G21,'Baumaterialien Matériaux'!$A$10:$AD$432,30,FALSE)</f>
        <v>Fondations profondes, pieux forés vissés, 660/580 mm</v>
      </c>
      <c r="E21" s="1791"/>
      <c r="F21" s="167" t="str">
        <f>_xlfn.XLOOKUP($G21,'Baumaterialien Matériaux'!$A:$A,'Baumaterialien Matériaux'!G:G,0,0)</f>
        <v>m</v>
      </c>
      <c r="G21" s="515" t="s">
        <v>537</v>
      </c>
      <c r="H21" s="167">
        <v>1.5</v>
      </c>
      <c r="J21" s="166">
        <v>60</v>
      </c>
      <c r="K21" s="166">
        <f>$H21*_xlfn.XLOOKUP($G21,'Baumaterialien Matériaux'!$A:$A,'Baumaterialien Matériaux'!V:V,0,0)</f>
        <v>384</v>
      </c>
      <c r="L21" s="166">
        <f>$H21*_xlfn.XLOOKUP($G21,'Baumaterialien Matériaux'!$A:$A,'Baumaterialien Matériaux'!Y:Y,0,0)</f>
        <v>0</v>
      </c>
      <c r="M21" s="166">
        <f>$H21*_xlfn.XLOOKUP($G21,'Baumaterialien Matériaux'!$A:$A,'Baumaterialien Matériaux'!AA:AA,0,0)</f>
        <v>144</v>
      </c>
      <c r="N21" s="166">
        <f>$H21*_xlfn.XLOOKUP($G21,'Baumaterialien Matériaux'!$A:$A,'Baumaterialien Matériaux'!AB:AB,0,0)</f>
        <v>0</v>
      </c>
      <c r="P21" s="166">
        <f>$H21*_xlfn.XLOOKUP($G21,'Baumaterialien Matériaux'!$A:$A,'Baumaterialien Matériaux'!AG:AG,0,0)</f>
        <v>0</v>
      </c>
      <c r="Q21" s="166">
        <f>$H21*_xlfn.XLOOKUP($G21,'Baumaterialien Matériaux'!$A:$A,'Baumaterialien Matériaux'!AH:AH,0,0)</f>
        <v>0</v>
      </c>
      <c r="S21" s="702"/>
    </row>
    <row r="22" spans="1:20" s="166" customFormat="1">
      <c r="A22" s="165"/>
      <c r="D22" s="167" t="str">
        <f>VLOOKUP($G22,'Baumaterialien Matériaux'!$A$10:$AD$432,30,FALSE)</f>
        <v>Fondations profondes, colonnes ballastées</v>
      </c>
      <c r="E22" s="1791"/>
      <c r="F22" s="167" t="str">
        <f>_xlfn.XLOOKUP($G22,'Baumaterialien Matériaux'!$A:$A,'Baumaterialien Matériaux'!G:G,0,0)</f>
        <v>m</v>
      </c>
      <c r="G22" s="515" t="s">
        <v>538</v>
      </c>
      <c r="H22" s="167">
        <v>1.5</v>
      </c>
      <c r="J22" s="166">
        <v>60</v>
      </c>
      <c r="K22" s="166">
        <f>$H22*_xlfn.XLOOKUP($G22,'Baumaterialien Matériaux'!$A:$A,'Baumaterialien Matériaux'!V:V,0,0)</f>
        <v>43.2</v>
      </c>
      <c r="L22" s="166">
        <f>$H22*_xlfn.XLOOKUP($G22,'Baumaterialien Matériaux'!$A:$A,'Baumaterialien Matériaux'!Y:Y,0,0)</f>
        <v>0</v>
      </c>
      <c r="M22" s="166">
        <f>$H22*_xlfn.XLOOKUP($G22,'Baumaterialien Matériaux'!$A:$A,'Baumaterialien Matériaux'!AA:AA,0,0)</f>
        <v>10.125</v>
      </c>
      <c r="N22" s="166">
        <f>$H22*_xlfn.XLOOKUP($G22,'Baumaterialien Matériaux'!$A:$A,'Baumaterialien Matériaux'!AB:AB,0,0)</f>
        <v>0</v>
      </c>
      <c r="P22" s="166">
        <f>$H22*_xlfn.XLOOKUP($G22,'Baumaterialien Matériaux'!$A:$A,'Baumaterialien Matériaux'!AG:AG,0,0)</f>
        <v>0</v>
      </c>
      <c r="Q22" s="166">
        <f>$H22*_xlfn.XLOOKUP($G22,'Baumaterialien Matériaux'!$A:$A,'Baumaterialien Matériaux'!AH:AH,0,0)</f>
        <v>0</v>
      </c>
      <c r="S22" s="702"/>
    </row>
    <row r="23" spans="1:20" s="538" customFormat="1">
      <c r="A23" s="539" t="str">
        <f>VLOOKUP($G23,'Baumaterialien Matériaux'!$A$10:$AD$432,30,FALSE)</f>
        <v>Fondations profondes, pieu en béton préfabriqué</v>
      </c>
      <c r="B23" s="538" t="s">
        <v>539</v>
      </c>
      <c r="D23" s="539" t="str">
        <f>VLOOKUP($G23,'Baumaterialien Matériaux'!$A$10:$AD$432,30,FALSE)</f>
        <v>Fondations profondes, pieu en béton préfabriqué</v>
      </c>
      <c r="E23" s="1789"/>
      <c r="F23" s="167" t="str">
        <f>_xlfn.XLOOKUP($G23,'Baumaterialien Matériaux'!$A:$A,'Baumaterialien Matériaux'!G:G,0,0)</f>
        <v>m</v>
      </c>
      <c r="G23" s="542" t="s">
        <v>540</v>
      </c>
      <c r="H23" s="539">
        <v>1.5</v>
      </c>
      <c r="J23" s="538">
        <v>60</v>
      </c>
      <c r="K23" s="538">
        <f>$H23*_xlfn.XLOOKUP($G23,'Baumaterialien Matériaux'!$A:$A,'Baumaterialien Matériaux'!V:V,0,0)</f>
        <v>87.9</v>
      </c>
      <c r="L23" s="538">
        <f>$H23*_xlfn.XLOOKUP($G23,'Baumaterialien Matériaux'!$A:$A,'Baumaterialien Matériaux'!Y:Y,0,0)</f>
        <v>0</v>
      </c>
      <c r="M23" s="538">
        <f>$H23*_xlfn.XLOOKUP($G23,'Baumaterialien Matériaux'!$A:$A,'Baumaterialien Matériaux'!AA:AA,0,0)</f>
        <v>43.8</v>
      </c>
      <c r="N23" s="538">
        <f>$H23*_xlfn.XLOOKUP($G23,'Baumaterialien Matériaux'!$A:$A,'Baumaterialien Matériaux'!AB:AB,0,0)</f>
        <v>0</v>
      </c>
      <c r="P23" s="538">
        <f>$H23*_xlfn.XLOOKUP($G23,'Baumaterialien Matériaux'!$A:$A,'Baumaterialien Matériaux'!AG:AG,0,0)</f>
        <v>0</v>
      </c>
      <c r="Q23" s="538">
        <f>$H23*_xlfn.XLOOKUP($G23,'Baumaterialien Matériaux'!$A:$A,'Baumaterialien Matériaux'!AH:AH,0,0)</f>
        <v>0</v>
      </c>
      <c r="S23" s="702"/>
    </row>
    <row r="25" spans="1:20" s="645" customFormat="1" ht="15">
      <c r="A25" s="643" t="s">
        <v>541</v>
      </c>
      <c r="B25" s="643"/>
      <c r="C25" s="643"/>
      <c r="D25" s="643"/>
      <c r="E25" s="643"/>
      <c r="F25" s="643"/>
      <c r="G25" s="643"/>
      <c r="H25" s="643"/>
      <c r="I25" s="643"/>
      <c r="J25" s="958"/>
      <c r="K25" s="958"/>
      <c r="L25" s="958"/>
      <c r="Q25" s="884"/>
      <c r="R25" s="884"/>
      <c r="S25" s="884"/>
      <c r="T25" s="884"/>
    </row>
    <row r="26" spans="1:20">
      <c r="A26" s="3">
        <v>0</v>
      </c>
    </row>
    <row r="28" spans="1:20">
      <c r="A28" s="3" t="s">
        <v>542</v>
      </c>
    </row>
    <row r="43" spans="1:2">
      <c r="A43" s="3" t="s">
        <v>543</v>
      </c>
      <c r="B43" s="3" t="s">
        <v>544</v>
      </c>
    </row>
    <row r="44" spans="1:2">
      <c r="A44" s="3" t="s">
        <v>545</v>
      </c>
      <c r="B44" s="3" t="s">
        <v>546</v>
      </c>
    </row>
    <row r="45" spans="1:2">
      <c r="A45" s="3" t="s">
        <v>547</v>
      </c>
      <c r="B45" s="3" t="s">
        <v>548</v>
      </c>
    </row>
    <row r="47" spans="1:2">
      <c r="A47" s="3" t="s">
        <v>549</v>
      </c>
      <c r="B47" s="3" t="s">
        <v>550</v>
      </c>
    </row>
    <row r="48" spans="1:2">
      <c r="A48" s="3" t="s">
        <v>551</v>
      </c>
    </row>
    <row r="49" spans="1:8">
      <c r="A49" s="3" t="s">
        <v>552</v>
      </c>
      <c r="B49" s="3" t="s">
        <v>553</v>
      </c>
    </row>
    <row r="50" spans="1:8">
      <c r="A50" s="3" t="s">
        <v>554</v>
      </c>
      <c r="B50" s="3" t="s">
        <v>555</v>
      </c>
    </row>
    <row r="55" spans="1:8">
      <c r="A55" s="3" t="s">
        <v>556</v>
      </c>
    </row>
    <row r="56" spans="1:8">
      <c r="A56" s="3" t="s">
        <v>106</v>
      </c>
      <c r="H56" s="3" t="s">
        <v>557</v>
      </c>
    </row>
    <row r="85" spans="1:14">
      <c r="A85" s="3" t="s">
        <v>558</v>
      </c>
    </row>
    <row r="87" spans="1:14">
      <c r="B87" s="3" t="s">
        <v>559</v>
      </c>
      <c r="D87" s="3" t="e">
        <f>Hypothèses!#REF!*'Outil simplifié'!D17</f>
        <v>#REF!</v>
      </c>
      <c r="G87" s="3" t="s">
        <v>328</v>
      </c>
      <c r="I87" s="3" t="s">
        <v>560</v>
      </c>
      <c r="M87" s="3" t="e">
        <f>Hypothèses!#REF!*'Outil simplifié'!D17</f>
        <v>#REF!</v>
      </c>
      <c r="N87" s="3" t="s">
        <v>328</v>
      </c>
    </row>
    <row r="88" spans="1:14">
      <c r="A88" s="3">
        <v>1</v>
      </c>
      <c r="B88" s="3" t="s">
        <v>561</v>
      </c>
      <c r="D88" s="3" t="e">
        <f>D87/A88</f>
        <v>#REF!</v>
      </c>
      <c r="G88" s="3" t="s">
        <v>328</v>
      </c>
      <c r="H88" s="3">
        <v>10</v>
      </c>
      <c r="I88" s="3" t="s">
        <v>562</v>
      </c>
      <c r="M88" s="3" t="e">
        <f>M87/H88</f>
        <v>#REF!</v>
      </c>
      <c r="N88" s="3" t="s">
        <v>328</v>
      </c>
    </row>
    <row r="89" spans="1:14">
      <c r="B89" s="3" t="s">
        <v>563</v>
      </c>
      <c r="D89" s="3" t="e">
        <f>(D87*D88)/2</f>
        <v>#REF!</v>
      </c>
      <c r="M89" s="3" t="e">
        <f>(M87*M88)/2</f>
        <v>#REF!</v>
      </c>
    </row>
    <row r="90" spans="1:14">
      <c r="M90" s="3" t="e">
        <f>(M87*M87*(1/10))/2</f>
        <v>#REF!</v>
      </c>
    </row>
    <row r="91" spans="1:14">
      <c r="B91" s="3" t="e">
        <f>(D87*D87*(1/1))/2</f>
        <v>#REF!</v>
      </c>
    </row>
    <row r="93" spans="1:14">
      <c r="B93" s="3" t="s">
        <v>564</v>
      </c>
      <c r="D93" s="126">
        <f>Hypothèses!D24*4</f>
        <v>35.777087639996637</v>
      </c>
      <c r="E93" s="126"/>
      <c r="F93" s="126"/>
      <c r="G93" s="3" t="s">
        <v>328</v>
      </c>
    </row>
    <row r="95" spans="1:14">
      <c r="B95" s="3" t="s">
        <v>402</v>
      </c>
      <c r="D95" s="150" t="e">
        <f>D89*D93</f>
        <v>#REF!</v>
      </c>
      <c r="E95" s="150"/>
      <c r="F95" s="150"/>
      <c r="M95" s="3" t="e">
        <f>M89*D93</f>
        <v>#REF!</v>
      </c>
    </row>
  </sheetData>
  <dataConsolidate/>
  <customSheetViews>
    <customSheetView guid="{B32447E2-AB5B-4CBB-881B-FF11349CA4D6}" scale="95">
      <pane ySplit="2" topLeftCell="A3" activePane="bottomLeft" state="frozen"/>
      <selection pane="bottomLeft" activeCell="K3" sqref="K3"/>
      <pageMargins left="0" right="0" top="0" bottom="0" header="0" footer="0"/>
    </customSheetView>
    <customSheetView guid="{9FA74287-E657-475B-BF4B-3C8C757714AE}" scale="95">
      <pane ySplit="2" topLeftCell="A3" activePane="bottomLeft" state="frozen"/>
      <selection pane="bottomLeft" activeCell="K3" sqref="K3"/>
      <pageMargins left="0" right="0" top="0" bottom="0" header="0" footer="0"/>
    </customSheetView>
    <customSheetView guid="{54A7C567-FA7D-467E-B353-ECB5E61AE756}">
      <selection activeCell="A10" sqref="A10"/>
      <pageMargins left="0" right="0" top="0" bottom="0" header="0" footer="0"/>
    </customSheetView>
  </customSheetViews>
  <pageMargins left="0" right="0" top="0" bottom="0" header="0" footer="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5">
    <pageSetUpPr autoPageBreaks="0"/>
  </sheetPr>
  <dimension ref="A1:W88"/>
  <sheetViews>
    <sheetView workbookViewId="0"/>
  </sheetViews>
  <sheetFormatPr baseColWidth="10" defaultColWidth="10.75" defaultRowHeight="14.25" outlineLevelCol="2"/>
  <cols>
    <col min="1" max="1" width="30.625" style="3" customWidth="1"/>
    <col min="2" max="2" width="29" style="3" hidden="1" customWidth="1" outlineLevel="1"/>
    <col min="3" max="3" width="54.5" style="3" hidden="1" customWidth="1" outlineLevel="1"/>
    <col min="4" max="4" width="32.75" style="3" customWidth="1" collapsed="1"/>
    <col min="5" max="5" width="17.75" style="3" customWidth="1"/>
    <col min="6" max="6" width="10.625" style="3" customWidth="1"/>
    <col min="7" max="7" width="8.5" style="3" customWidth="1"/>
    <col min="8" max="8" width="12.5" style="954" customWidth="1"/>
    <col min="9" max="9" width="2.75" style="3" customWidth="1"/>
    <col min="10" max="10" width="10.75" style="3" hidden="1" customWidth="1" outlineLevel="1"/>
    <col min="11" max="11" width="14.125" style="134" hidden="1" customWidth="1" outlineLevel="2"/>
    <col min="12" max="12" width="12.75" style="134" hidden="1" customWidth="1" outlineLevel="2"/>
    <col min="13" max="13" width="10.75" style="3" hidden="1" customWidth="1" outlineLevel="1" collapsed="1"/>
    <col min="14" max="20" width="10.75" style="3" hidden="1" customWidth="1" outlineLevel="1"/>
    <col min="21" max="22" width="17.75" style="3" customWidth="1" collapsed="1"/>
    <col min="23" max="16384" width="10.75" style="3"/>
  </cols>
  <sheetData>
    <row r="1" spans="1:23" ht="90">
      <c r="B1" s="1" t="s">
        <v>502</v>
      </c>
      <c r="C1" s="1" t="s">
        <v>503</v>
      </c>
      <c r="D1" s="1" t="s">
        <v>504</v>
      </c>
      <c r="E1" s="1" t="s">
        <v>4444</v>
      </c>
      <c r="F1" s="125" t="s">
        <v>505</v>
      </c>
      <c r="G1" s="1" t="s">
        <v>506</v>
      </c>
      <c r="H1" s="125" t="s">
        <v>565</v>
      </c>
      <c r="J1" s="125" t="s">
        <v>508</v>
      </c>
      <c r="K1" s="125" t="s">
        <v>509</v>
      </c>
      <c r="L1" s="125" t="s">
        <v>510</v>
      </c>
      <c r="M1" s="125" t="s">
        <v>511</v>
      </c>
      <c r="N1" s="125" t="s">
        <v>512</v>
      </c>
      <c r="O1" s="125" t="s">
        <v>513</v>
      </c>
      <c r="P1" s="125" t="s">
        <v>514</v>
      </c>
      <c r="Q1" s="125" t="s">
        <v>515</v>
      </c>
      <c r="R1"/>
      <c r="S1" s="125" t="s">
        <v>3645</v>
      </c>
      <c r="T1" s="125" t="s">
        <v>3646</v>
      </c>
      <c r="U1" s="1" t="s">
        <v>4445</v>
      </c>
      <c r="V1" s="1" t="s">
        <v>4446</v>
      </c>
      <c r="W1"/>
    </row>
    <row r="2" spans="1:23" s="964" customFormat="1" ht="15.75">
      <c r="B2" s="965"/>
      <c r="C2" s="965"/>
      <c r="D2" s="965"/>
      <c r="E2" s="965"/>
      <c r="F2" s="966"/>
      <c r="G2" s="966">
        <v>0</v>
      </c>
      <c r="H2" s="966">
        <v>0</v>
      </c>
      <c r="I2" s="966">
        <v>0</v>
      </c>
      <c r="J2" s="966">
        <v>0</v>
      </c>
      <c r="K2" s="966">
        <v>0</v>
      </c>
      <c r="L2" s="966">
        <v>0</v>
      </c>
      <c r="M2" s="966">
        <v>0</v>
      </c>
      <c r="N2" s="966">
        <v>0</v>
      </c>
      <c r="O2" s="966">
        <v>0</v>
      </c>
      <c r="P2" s="966">
        <v>0</v>
      </c>
      <c r="Q2" s="966">
        <v>0</v>
      </c>
      <c r="R2" s="967"/>
      <c r="S2" s="967"/>
      <c r="T2" s="967"/>
      <c r="U2" s="965"/>
      <c r="V2" s="965"/>
      <c r="W2" s="967"/>
    </row>
    <row r="3" spans="1:23" s="643" customFormat="1" ht="15.75" thickBot="1">
      <c r="B3" s="643" t="str">
        <f>'Outil détaillé'!D10</f>
        <v>Fondations, radiers</v>
      </c>
      <c r="H3" s="952"/>
      <c r="K3" s="132"/>
      <c r="L3" s="132"/>
      <c r="P3" s="878"/>
      <c r="Q3" s="878"/>
    </row>
    <row r="4" spans="1:23" s="540" customFormat="1" ht="16.5">
      <c r="A4" s="951" t="s">
        <v>110</v>
      </c>
      <c r="B4" s="1927" t="s">
        <v>566</v>
      </c>
      <c r="C4" s="543" t="s">
        <v>567</v>
      </c>
      <c r="D4" s="543" t="str">
        <f>VLOOKUP(G4,'Baumaterialien Matériaux'!$A$10:$AD$432,30,FALSE)</f>
        <v>Béton maigre (sans armature)</v>
      </c>
      <c r="E4" s="543">
        <v>7</v>
      </c>
      <c r="F4" s="543" t="str">
        <f>VLOOKUP(G4,'Baumaterialien Matériaux'!$A$10:$AD$432,7,FALSE)</f>
        <v>kg</v>
      </c>
      <c r="G4" s="544" t="s">
        <v>568</v>
      </c>
      <c r="H4" s="955">
        <f>E4/100*2150</f>
        <v>150.50000000000003</v>
      </c>
      <c r="I4" s="545"/>
      <c r="J4" s="538">
        <v>60</v>
      </c>
      <c r="K4" s="879">
        <f>$H4*_xlfn.XLOOKUP($G4,'Baumaterialien Matériaux'!$A:$A,'Baumaterialien Matériaux'!V:V,0,0)</f>
        <v>11.543350000000002</v>
      </c>
      <c r="L4" s="879">
        <f>$H4*_xlfn.XLOOKUP($G4,'Baumaterialien Matériaux'!$A:$A,'Baumaterialien Matériaux'!Y:Y,0,0)</f>
        <v>7.7658000000000014</v>
      </c>
      <c r="M4" s="879">
        <f>$H4*_xlfn.XLOOKUP($G4,'Baumaterialien Matériaux'!$A:$A,'Baumaterialien Matériaux'!AA:AA,0,0)</f>
        <v>7.5551000000000013</v>
      </c>
      <c r="N4" s="879">
        <f>$H4*_xlfn.XLOOKUP($G4,'Baumaterialien Matériaux'!$A:$A,'Baumaterialien Matériaux'!AB:AB,0,0)</f>
        <v>1.8963000000000003</v>
      </c>
      <c r="O4" s="879">
        <f>$H4*_xlfn.XLOOKUP($G4,'Baumaterialien Matériaux'!$A:$A,'Baumaterialien Matériaux'!AC:AC,0,0)*44/12</f>
        <v>0</v>
      </c>
      <c r="P4" s="879">
        <f>$H4*_xlfn.XLOOKUP($G4,'Baumaterialien Matériaux'!$A:$A,'Baumaterialien Matériaux'!AG:AG,0,0)</f>
        <v>0</v>
      </c>
      <c r="Q4" s="879">
        <f>$H4*_xlfn.XLOOKUP($G4,'Baumaterialien Matériaux'!$A:$A,'Baumaterialien Matériaux'!AH:AH,0,0)</f>
        <v>0</v>
      </c>
      <c r="U4" s="543">
        <v>1</v>
      </c>
      <c r="V4" s="1785">
        <f>IFERROR(E4/U4,0)</f>
        <v>7</v>
      </c>
    </row>
    <row r="5" spans="1:23" s="540" customFormat="1">
      <c r="A5" s="796"/>
      <c r="B5" s="1928"/>
      <c r="C5" s="538" t="s">
        <v>569</v>
      </c>
      <c r="D5" s="538" t="str">
        <f>VLOOKUP(G5,'Baumaterialien Matériaux'!$A$10:$AD$432,30,FALSE)</f>
        <v>Béton pour bâtiment (sans armature)</v>
      </c>
      <c r="E5" s="1785">
        <v>30</v>
      </c>
      <c r="F5" s="538" t="str">
        <f>VLOOKUP(G5,'Baumaterialien Matériaux'!$A$10:$AD$432,7,FALSE)</f>
        <v>kg</v>
      </c>
      <c r="G5" s="546" t="s">
        <v>570</v>
      </c>
      <c r="H5" s="955">
        <f>(E5/100-H6/7850)*2300</f>
        <v>680.77070063694271</v>
      </c>
      <c r="I5" s="547"/>
      <c r="J5" s="538">
        <v>60</v>
      </c>
      <c r="K5" s="879">
        <f>$H5*_xlfn.XLOOKUP($G5,'Baumaterialien Matériaux'!$A:$A,'Baumaterialien Matériaux'!V:V,0,0)</f>
        <v>83.734796178343956</v>
      </c>
      <c r="L5" s="879">
        <f>$H5*_xlfn.XLOOKUP($G5,'Baumaterialien Matériaux'!$A:$A,'Baumaterialien Matériaux'!Y:Y,0,0)</f>
        <v>34.923536942675163</v>
      </c>
      <c r="M5" s="879">
        <f>$H5*_xlfn.XLOOKUP($G5,'Baumaterialien Matériaux'!$A:$A,'Baumaterialien Matériaux'!AA:AA,0,0)</f>
        <v>60.384361146496822</v>
      </c>
      <c r="N5" s="879">
        <f>$H5*_xlfn.XLOOKUP($G5,'Baumaterialien Matériaux'!$A:$A,'Baumaterialien Matériaux'!AB:AB,0,0)</f>
        <v>8.577710828025479</v>
      </c>
      <c r="O5" s="879">
        <f>$H5*_xlfn.XLOOKUP($G5,'Baumaterialien Matériaux'!$A:$A,'Baumaterialien Matériaux'!AC:AC,0,0)*44/12</f>
        <v>0</v>
      </c>
      <c r="P5" s="879">
        <f>$H5*_xlfn.XLOOKUP($G5,'Baumaterialien Matériaux'!$A:$A,'Baumaterialien Matériaux'!AG:AG,0,0)</f>
        <v>0</v>
      </c>
      <c r="Q5" s="879">
        <f>$H5*_xlfn.XLOOKUP($G5,'Baumaterialien Matériaux'!$A:$A,'Baumaterialien Matériaux'!AH:AH,0,0)</f>
        <v>0</v>
      </c>
      <c r="U5" s="1785">
        <v>2.5</v>
      </c>
      <c r="V5" s="1785">
        <f>IFERROR(E5/U5,0)</f>
        <v>12</v>
      </c>
    </row>
    <row r="6" spans="1:23" s="540" customFormat="1">
      <c r="A6" s="796"/>
      <c r="B6" s="1928"/>
      <c r="C6" s="538" t="s">
        <v>571</v>
      </c>
      <c r="D6" s="538" t="str">
        <f>VLOOKUP(G6,'Baumaterialien Matériaux'!$A$10:$AD$432,30,FALSE)</f>
        <v>Acier d'armature</v>
      </c>
      <c r="E6" s="1785"/>
      <c r="F6" s="538" t="str">
        <f>VLOOKUP(G6,'Baumaterialien Matériaux'!$A$10:$AD$432,7,FALSE)</f>
        <v>kg</v>
      </c>
      <c r="G6" s="546" t="s">
        <v>572</v>
      </c>
      <c r="H6" s="955">
        <f>105*0.3</f>
        <v>31.5</v>
      </c>
      <c r="I6" s="547"/>
      <c r="J6" s="549">
        <v>60</v>
      </c>
      <c r="K6" s="880">
        <f>$H6*_xlfn.XLOOKUP($G6,'Baumaterialien Matériaux'!$A:$A,'Baumaterialien Matériaux'!V:V,0,0)</f>
        <v>106.78500000000001</v>
      </c>
      <c r="L6" s="880">
        <f>$H6*_xlfn.XLOOKUP($G6,'Baumaterialien Matériaux'!$A:$A,'Baumaterialien Matériaux'!Y:Y,0,0)</f>
        <v>1.5907500000000001</v>
      </c>
      <c r="M6" s="880">
        <f>$H6*_xlfn.XLOOKUP($G6,'Baumaterialien Matériaux'!$A:$A,'Baumaterialien Matériaux'!AA:AA,0,0)</f>
        <v>24.349499999999999</v>
      </c>
      <c r="N6" s="880">
        <f>$H6*_xlfn.XLOOKUP($G6,'Baumaterialien Matériaux'!$A:$A,'Baumaterialien Matériaux'!AB:AB,0,0)</f>
        <v>0.38430000000000003</v>
      </c>
      <c r="O6" s="880">
        <f>$H6*_xlfn.XLOOKUP($G6,'Baumaterialien Matériaux'!$A:$A,'Baumaterialien Matériaux'!AC:AC,0,0)*44/12</f>
        <v>0</v>
      </c>
      <c r="P6" s="880">
        <f>$H6*_xlfn.XLOOKUP($G6,'Baumaterialien Matériaux'!$A:$A,'Baumaterialien Matériaux'!AG:AG,0,0)</f>
        <v>0</v>
      </c>
      <c r="Q6" s="880">
        <f>$H6*_xlfn.XLOOKUP($G6,'Baumaterialien Matériaux'!$A:$A,'Baumaterialien Matériaux'!AH:AH,0,0)</f>
        <v>0</v>
      </c>
      <c r="U6" s="1785"/>
      <c r="V6" s="1785">
        <f>IFERROR(E6/U6,0)</f>
        <v>0</v>
      </c>
    </row>
    <row r="7" spans="1:23" s="540" customFormat="1" ht="15.75" thickBot="1">
      <c r="A7" s="550"/>
      <c r="B7" s="551"/>
      <c r="C7" s="551"/>
      <c r="D7" s="551"/>
      <c r="E7" s="551"/>
      <c r="F7" s="551"/>
      <c r="G7" s="551"/>
      <c r="H7" s="953"/>
      <c r="I7" s="552"/>
      <c r="J7" s="553">
        <v>60</v>
      </c>
      <c r="K7" s="881">
        <f t="shared" ref="K7:L7" si="0">SUM(K4:K6)</f>
        <v>202.06314617834397</v>
      </c>
      <c r="L7" s="881">
        <f t="shared" si="0"/>
        <v>44.280086942675162</v>
      </c>
      <c r="M7" s="881">
        <f>SUM(M4:M6)</f>
        <v>92.288961146496831</v>
      </c>
      <c r="N7" s="881">
        <f>SUM(N4:N6)</f>
        <v>10.858310828025479</v>
      </c>
      <c r="O7" s="881">
        <f>SUM(O4:O6)</f>
        <v>0</v>
      </c>
      <c r="P7" s="881">
        <f>SUM(P4:P6)</f>
        <v>0</v>
      </c>
      <c r="Q7" s="881">
        <f>SUM(Q4:Q6)</f>
        <v>0</v>
      </c>
      <c r="S7" s="702">
        <f>(M7+N7)/J7</f>
        <v>1.7191211995753719</v>
      </c>
      <c r="T7" s="702">
        <v>1.63</v>
      </c>
      <c r="U7" s="551"/>
      <c r="V7" s="551"/>
    </row>
    <row r="8" spans="1:23">
      <c r="C8" s="138"/>
      <c r="D8" s="138"/>
      <c r="E8" s="138"/>
      <c r="F8" s="138"/>
      <c r="K8" s="150"/>
      <c r="L8" s="150"/>
      <c r="M8" s="150"/>
      <c r="N8" s="150"/>
      <c r="O8" s="150"/>
      <c r="P8" s="150"/>
      <c r="Q8" s="150"/>
      <c r="U8" s="138"/>
      <c r="V8" s="138"/>
    </row>
    <row r="9" spans="1:23" s="540" customFormat="1" ht="15.6" customHeight="1">
      <c r="A9" s="560" t="s">
        <v>573</v>
      </c>
      <c r="B9" s="1924" t="s">
        <v>566</v>
      </c>
      <c r="C9" s="555" t="str">
        <f>C4</f>
        <v>Magerbeton / Béton maigre 7 cm [kg], 2'150 [kg/m3]</v>
      </c>
      <c r="D9" s="538" t="str">
        <f>VLOOKUP(G9,'Baumaterialien Matériaux'!$A$10:$AD$432,30,FALSE)</f>
        <v>Béton maigre (sans armature)</v>
      </c>
      <c r="E9" s="1785"/>
      <c r="F9" s="538" t="str">
        <f>VLOOKUP(G9,'Baumaterialien Matériaux'!$A$10:$AD$432,7,FALSE)</f>
        <v>kg</v>
      </c>
      <c r="G9" s="546" t="str">
        <f>G4</f>
        <v>01.001</v>
      </c>
      <c r="H9" s="955">
        <f>0.07*2150</f>
        <v>150.50000000000003</v>
      </c>
      <c r="I9" s="539"/>
      <c r="J9" s="556">
        <v>60</v>
      </c>
      <c r="K9" s="882">
        <f>$H9*_xlfn.XLOOKUP($G9,'Baumaterialien Matériaux'!$A:$A,'Baumaterialien Matériaux'!V:V,0,0)</f>
        <v>11.543350000000002</v>
      </c>
      <c r="L9" s="882">
        <f>$H9*_xlfn.XLOOKUP($G9,'Baumaterialien Matériaux'!$A:$A,'Baumaterialien Matériaux'!Y:Y,0,0)</f>
        <v>7.7658000000000014</v>
      </c>
      <c r="M9" s="882">
        <f>$H9*_xlfn.XLOOKUP($G9,'Baumaterialien Matériaux'!$A:$A,'Baumaterialien Matériaux'!AA:AA,0,0)</f>
        <v>7.5551000000000013</v>
      </c>
      <c r="N9" s="882">
        <f>$H9*_xlfn.XLOOKUP($G9,'Baumaterialien Matériaux'!$A:$A,'Baumaterialien Matériaux'!AB:AB,0,0)</f>
        <v>1.8963000000000003</v>
      </c>
      <c r="O9" s="882">
        <f>$H9*_xlfn.XLOOKUP($G9,'Baumaterialien Matériaux'!$A:$A,'Baumaterialien Matériaux'!AC:AC,0,0)*44/12</f>
        <v>0</v>
      </c>
      <c r="P9" s="882">
        <f>$H9*_xlfn.XLOOKUP($G9,'Baumaterialien Matériaux'!$A:$A,'Baumaterialien Matériaux'!AG:AG,0,0)</f>
        <v>0</v>
      </c>
      <c r="Q9" s="882">
        <f>$H9*_xlfn.XLOOKUP($G9,'Baumaterialien Matériaux'!$A:$A,'Baumaterialien Matériaux'!AH:AH,0,0)</f>
        <v>0</v>
      </c>
      <c r="R9" s="558"/>
      <c r="U9" s="1785"/>
      <c r="V9" s="1785"/>
    </row>
    <row r="10" spans="1:23" s="540" customFormat="1">
      <c r="A10" s="796"/>
      <c r="B10" s="1922"/>
      <c r="C10" s="555" t="str">
        <f>C5</f>
        <v>Hochbaubeton / béton pour bâtiment, 30 cm [kg], 2'300 [kg/m3]</v>
      </c>
      <c r="D10" s="538" t="str">
        <f>VLOOKUP(G10,'Baumaterialien Matériaux'!$A$10:$AD$432,30,FALSE)</f>
        <v>Béton pour bâtiment (sans armature)</v>
      </c>
      <c r="E10" s="1785"/>
      <c r="F10" s="538" t="str">
        <f>VLOOKUP(G10,'Baumaterialien Matériaux'!$A$10:$AD$432,7,FALSE)</f>
        <v>kg</v>
      </c>
      <c r="G10" s="546" t="str">
        <f>G5</f>
        <v>01.002</v>
      </c>
      <c r="H10" s="955">
        <f>(0.3-H11/7850)*2300</f>
        <v>680.77070063694271</v>
      </c>
      <c r="I10" s="539"/>
      <c r="J10" s="556">
        <v>60</v>
      </c>
      <c r="K10" s="882">
        <f>$H10*_xlfn.XLOOKUP($G10,'Baumaterialien Matériaux'!$A:$A,'Baumaterialien Matériaux'!V:V,0,0)</f>
        <v>83.734796178343956</v>
      </c>
      <c r="L10" s="882">
        <f>$H10*_xlfn.XLOOKUP($G10,'Baumaterialien Matériaux'!$A:$A,'Baumaterialien Matériaux'!Y:Y,0,0)</f>
        <v>34.923536942675163</v>
      </c>
      <c r="M10" s="882">
        <f>$H10*_xlfn.XLOOKUP($G10,'Baumaterialien Matériaux'!$A:$A,'Baumaterialien Matériaux'!AA:AA,0,0)</f>
        <v>60.384361146496822</v>
      </c>
      <c r="N10" s="882">
        <f>$H10*_xlfn.XLOOKUP($G10,'Baumaterialien Matériaux'!$A:$A,'Baumaterialien Matériaux'!AB:AB,0,0)</f>
        <v>8.577710828025479</v>
      </c>
      <c r="O10" s="882">
        <f>$H10*_xlfn.XLOOKUP($G10,'Baumaterialien Matériaux'!$A:$A,'Baumaterialien Matériaux'!AC:AC,0,0)*44/12</f>
        <v>0</v>
      </c>
      <c r="P10" s="882">
        <f>$H10*_xlfn.XLOOKUP($G10,'Baumaterialien Matériaux'!$A:$A,'Baumaterialien Matériaux'!AG:AG,0,0)</f>
        <v>0</v>
      </c>
      <c r="Q10" s="882">
        <f>$H10*_xlfn.XLOOKUP($G10,'Baumaterialien Matériaux'!$A:$A,'Baumaterialien Matériaux'!AH:AH,0,0)</f>
        <v>0</v>
      </c>
      <c r="U10" s="1785"/>
      <c r="V10" s="1785"/>
    </row>
    <row r="11" spans="1:23" s="540" customFormat="1">
      <c r="A11" s="796"/>
      <c r="B11" s="1923"/>
      <c r="C11" s="555" t="str">
        <f>C6</f>
        <v>Armierungsstahl / Acier d'armature [kg], 7'850 [kg/m3]</v>
      </c>
      <c r="D11" s="538" t="str">
        <f>VLOOKUP(G11,'Baumaterialien Matériaux'!$A$10:$AD$432,30,FALSE)</f>
        <v>Acier d'armature</v>
      </c>
      <c r="E11" s="1785"/>
      <c r="F11" s="538" t="str">
        <f>VLOOKUP(G11,'Baumaterialien Matériaux'!$A$10:$AD$432,7,FALSE)</f>
        <v>kg</v>
      </c>
      <c r="G11" s="546" t="str">
        <f>G6</f>
        <v>06.003</v>
      </c>
      <c r="H11" s="955">
        <f>105*0.3</f>
        <v>31.5</v>
      </c>
      <c r="I11" s="539"/>
      <c r="J11" s="556">
        <v>60</v>
      </c>
      <c r="K11" s="882">
        <f>$H11*_xlfn.XLOOKUP($G11,'Baumaterialien Matériaux'!$A:$A,'Baumaterialien Matériaux'!V:V,0,0)</f>
        <v>106.78500000000001</v>
      </c>
      <c r="L11" s="882">
        <f>$H11*_xlfn.XLOOKUP($G11,'Baumaterialien Matériaux'!$A:$A,'Baumaterialien Matériaux'!Y:Y,0,0)</f>
        <v>1.5907500000000001</v>
      </c>
      <c r="M11" s="882">
        <f>$H11*_xlfn.XLOOKUP($G11,'Baumaterialien Matériaux'!$A:$A,'Baumaterialien Matériaux'!AA:AA,0,0)</f>
        <v>24.349499999999999</v>
      </c>
      <c r="N11" s="882">
        <f>$H11*_xlfn.XLOOKUP($G11,'Baumaterialien Matériaux'!$A:$A,'Baumaterialien Matériaux'!AB:AB,0,0)</f>
        <v>0.38430000000000003</v>
      </c>
      <c r="O11" s="882">
        <f>$H11*_xlfn.XLOOKUP($G11,'Baumaterialien Matériaux'!$A:$A,'Baumaterialien Matériaux'!AC:AC,0,0)*44/12</f>
        <v>0</v>
      </c>
      <c r="P11" s="882">
        <f>$H11*_xlfn.XLOOKUP($G11,'Baumaterialien Matériaux'!$A:$A,'Baumaterialien Matériaux'!AG:AG,0,0)</f>
        <v>0</v>
      </c>
      <c r="Q11" s="882">
        <f>$H11*_xlfn.XLOOKUP($G11,'Baumaterialien Matériaux'!$A:$A,'Baumaterialien Matériaux'!AH:AH,0,0)</f>
        <v>0</v>
      </c>
      <c r="U11" s="1785"/>
      <c r="V11" s="1785"/>
    </row>
    <row r="12" spans="1:23" s="540" customFormat="1">
      <c r="A12" s="796"/>
      <c r="B12" s="1932" t="s">
        <v>574</v>
      </c>
      <c r="C12" s="538" t="s">
        <v>575</v>
      </c>
      <c r="D12" s="538" t="str">
        <f>VLOOKUP(G12,'Baumaterialien Matériaux'!$A$10:$AD$432,30,FALSE)</f>
        <v>Émulsion de bitume, 1 couche</v>
      </c>
      <c r="E12" s="1785"/>
      <c r="F12" s="538" t="str">
        <f>VLOOKUP(G12,'Baumaterialien Matériaux'!$A$10:$AD$432,7,FALSE)</f>
        <v>m2</v>
      </c>
      <c r="G12" s="562" t="s">
        <v>576</v>
      </c>
      <c r="H12" s="955">
        <v>2</v>
      </c>
      <c r="I12" s="539"/>
      <c r="J12" s="538">
        <v>60</v>
      </c>
      <c r="K12" s="879">
        <f>$H12*_xlfn.XLOOKUP($G12,'Baumaterialien Matériaux'!$A:$A,'Baumaterialien Matériaux'!V:V,0,0)</f>
        <v>3.68</v>
      </c>
      <c r="L12" s="879">
        <f>$H12*_xlfn.XLOOKUP($G12,'Baumaterialien Matériaux'!$A:$A,'Baumaterialien Matériaux'!Y:Y,0,0)</f>
        <v>2.8000000000000001E-2</v>
      </c>
      <c r="M12" s="879">
        <f>$H12*_xlfn.XLOOKUP($G12,'Baumaterialien Matériaux'!$A:$A,'Baumaterialien Matériaux'!AA:AA,0,0)</f>
        <v>0.26800000000000002</v>
      </c>
      <c r="N12" s="879">
        <f>$H12*_xlfn.XLOOKUP($G12,'Baumaterialien Matériaux'!$A:$A,'Baumaterialien Matériaux'!AB:AB,0,0)</f>
        <v>9.3600000000000003E-2</v>
      </c>
      <c r="O12" s="879">
        <f>$H12*_xlfn.XLOOKUP($G12,'Baumaterialien Matériaux'!$A:$A,'Baumaterialien Matériaux'!AC:AC,0,0)*44/12</f>
        <v>0</v>
      </c>
      <c r="P12" s="879">
        <f>$H12*_xlfn.XLOOKUP($G12,'Baumaterialien Matériaux'!$A:$A,'Baumaterialien Matériaux'!AG:AG,0,0)</f>
        <v>0</v>
      </c>
      <c r="Q12" s="879">
        <f>$H12*_xlfn.XLOOKUP($G12,'Baumaterialien Matériaux'!$A:$A,'Baumaterialien Matériaux'!AH:AH,0,0)</f>
        <v>0</v>
      </c>
      <c r="U12" s="1785"/>
      <c r="V12" s="1785"/>
    </row>
    <row r="13" spans="1:23" s="540" customFormat="1">
      <c r="A13" s="796"/>
      <c r="B13" s="1933"/>
      <c r="C13" s="538" t="s">
        <v>577</v>
      </c>
      <c r="D13" s="538" t="str">
        <f>VLOOKUP(G13,'Baumaterialien Matériaux'!$A$10:$AD$432,30,FALSE)</f>
        <v>Polyéthylène (HDPE)</v>
      </c>
      <c r="E13" s="1785"/>
      <c r="F13" s="538" t="str">
        <f>VLOOKUP(G13,'Baumaterialien Matériaux'!$A$10:$AD$432,7,FALSE)</f>
        <v>kg</v>
      </c>
      <c r="G13" s="563" t="s">
        <v>578</v>
      </c>
      <c r="H13" s="955">
        <v>2.5</v>
      </c>
      <c r="I13" s="539"/>
      <c r="J13" s="538">
        <v>60</v>
      </c>
      <c r="K13" s="879">
        <f>$H13*_xlfn.XLOOKUP($G13,'Baumaterialien Matériaux'!$A:$A,'Baumaterialien Matériaux'!V:V,0,0)</f>
        <v>57.5</v>
      </c>
      <c r="L13" s="879">
        <f>$H13*_xlfn.XLOOKUP($G13,'Baumaterialien Matériaux'!$A:$A,'Baumaterialien Matériaux'!Y:Y,0,0)</f>
        <v>0.52249999999999996</v>
      </c>
      <c r="M13" s="879">
        <f>$H13*_xlfn.XLOOKUP($G13,'Baumaterialien Matériaux'!$A:$A,'Baumaterialien Matériaux'!AA:AA,0,0)</f>
        <v>5.9499999999999993</v>
      </c>
      <c r="N13" s="879">
        <f>$H13*_xlfn.XLOOKUP($G13,'Baumaterialien Matériaux'!$A:$A,'Baumaterialien Matériaux'!AB:AB,0,0)</f>
        <v>5.9250000000000007</v>
      </c>
      <c r="O13" s="879">
        <f>$H13*_xlfn.XLOOKUP($G13,'Baumaterialien Matériaux'!$A:$A,'Baumaterialien Matériaux'!AC:AC,0,0)*44/12</f>
        <v>0</v>
      </c>
      <c r="P13" s="879">
        <f>$H13*_xlfn.XLOOKUP($G13,'Baumaterialien Matériaux'!$A:$A,'Baumaterialien Matériaux'!AG:AG,0,0)</f>
        <v>0</v>
      </c>
      <c r="Q13" s="879">
        <f>$H13*_xlfn.XLOOKUP($G13,'Baumaterialien Matériaux'!$A:$A,'Baumaterialien Matériaux'!AH:AH,0,0)</f>
        <v>0</v>
      </c>
      <c r="U13" s="1785"/>
      <c r="V13" s="1785"/>
    </row>
    <row r="14" spans="1:23" s="540" customFormat="1">
      <c r="A14" s="796"/>
      <c r="B14" s="939" t="s">
        <v>579</v>
      </c>
      <c r="C14" s="538" t="s">
        <v>580</v>
      </c>
      <c r="D14" s="538" t="str">
        <f>VLOOKUP(G14,'Baumaterialien Matériaux'!$A$10:$AD$432,30,FALSE)</f>
        <v>Polystyrène extrudé (XPS)</v>
      </c>
      <c r="E14" s="1785"/>
      <c r="F14" s="538" t="str">
        <f>VLOOKUP(G14,'Baumaterialien Matériaux'!$A$10:$AD$432,7,FALSE)</f>
        <v>kg</v>
      </c>
      <c r="G14" s="538" t="s">
        <v>581</v>
      </c>
      <c r="H14" s="955">
        <f>33*0.2</f>
        <v>6.6000000000000005</v>
      </c>
      <c r="I14" s="539"/>
      <c r="J14" s="556">
        <v>60</v>
      </c>
      <c r="K14" s="882">
        <f>$H14*_xlfn.XLOOKUP($G14,'Baumaterialien Matériaux'!$A:$A,'Baumaterialien Matériaux'!V:V,0,0)</f>
        <v>192.72</v>
      </c>
      <c r="L14" s="882">
        <f>$H14*_xlfn.XLOOKUP($G14,'Baumaterialien Matériaux'!$A:$A,'Baumaterialien Matériaux'!Y:Y,0,0)</f>
        <v>1.3332000000000002</v>
      </c>
      <c r="M14" s="882">
        <f>$H14*_xlfn.XLOOKUP($G14,'Baumaterialien Matériaux'!$A:$A,'Baumaterialien Matériaux'!AA:AA,0,0)</f>
        <v>74.580000000000013</v>
      </c>
      <c r="N14" s="882">
        <f>$H14*_xlfn.XLOOKUP($G14,'Baumaterialien Matériaux'!$A:$A,'Baumaterialien Matériaux'!AB:AB,0,0)</f>
        <v>20.394000000000002</v>
      </c>
      <c r="O14" s="882">
        <f>$H14*_xlfn.XLOOKUP($G14,'Baumaterialien Matériaux'!$A:$A,'Baumaterialien Matériaux'!AC:AC,0,0)*44/12</f>
        <v>0</v>
      </c>
      <c r="P14" s="882">
        <f>$H14*_xlfn.XLOOKUP($G14,'Baumaterialien Matériaux'!$A:$A,'Baumaterialien Matériaux'!AG:AG,0,0)</f>
        <v>0</v>
      </c>
      <c r="Q14" s="882">
        <f>$H14*_xlfn.XLOOKUP($G14,'Baumaterialien Matériaux'!$A:$A,'Baumaterialien Matériaux'!AH:AH,0,0)</f>
        <v>0</v>
      </c>
      <c r="U14" s="1785"/>
      <c r="V14" s="1785"/>
    </row>
    <row r="15" spans="1:23" s="540" customFormat="1" ht="15.75" thickBot="1">
      <c r="A15" s="550"/>
      <c r="B15" s="551"/>
      <c r="C15" s="551"/>
      <c r="D15" s="551"/>
      <c r="E15" s="551"/>
      <c r="F15" s="551"/>
      <c r="G15" s="551"/>
      <c r="H15" s="953"/>
      <c r="I15" s="552"/>
      <c r="J15" s="553">
        <v>60</v>
      </c>
      <c r="K15" s="881">
        <f t="shared" ref="K15:L15" si="1">SUM(K9:K14)</f>
        <v>455.963146178344</v>
      </c>
      <c r="L15" s="881">
        <f t="shared" si="1"/>
        <v>46.163786942675159</v>
      </c>
      <c r="M15" s="881">
        <f>SUM(M9:M14)</f>
        <v>173.08696114649683</v>
      </c>
      <c r="N15" s="881">
        <f>SUM(N9:N14)</f>
        <v>37.270910828025478</v>
      </c>
      <c r="O15" s="881">
        <f>SUM(O9:O14)</f>
        <v>0</v>
      </c>
      <c r="P15" s="881">
        <f>SUM(P9:P14)</f>
        <v>0</v>
      </c>
      <c r="Q15" s="881">
        <f>SUM(Q9:Q14)</f>
        <v>0</v>
      </c>
      <c r="S15" s="702">
        <f>(M15+N15)/J15</f>
        <v>3.5059645329087052</v>
      </c>
      <c r="T15" s="540">
        <v>2.71</v>
      </c>
      <c r="U15" s="551"/>
      <c r="V15" s="551"/>
    </row>
    <row r="16" spans="1:23" ht="15">
      <c r="H16" s="956"/>
      <c r="I16" s="126"/>
      <c r="J16" s="516"/>
      <c r="K16" s="883"/>
      <c r="L16" s="883"/>
      <c r="M16" s="883"/>
      <c r="N16" s="883"/>
      <c r="O16" s="883"/>
      <c r="P16" s="883"/>
      <c r="Q16" s="883"/>
    </row>
    <row r="17" spans="1:22" s="540" customFormat="1">
      <c r="A17" s="560" t="s">
        <v>582</v>
      </c>
      <c r="B17" s="1929" t="s">
        <v>566</v>
      </c>
      <c r="C17" s="538" t="str">
        <f>C9</f>
        <v>Magerbeton / Béton maigre 7 cm [kg], 2'150 [kg/m3]</v>
      </c>
      <c r="D17" s="538" t="str">
        <f>VLOOKUP(G17,'Baumaterialien Matériaux'!$A$10:$AD$432,30,FALSE)</f>
        <v>Béton maigre (sans armature)</v>
      </c>
      <c r="E17" s="1785"/>
      <c r="F17" s="538" t="str">
        <f>VLOOKUP(G17,'Baumaterialien Matériaux'!$A$10:$AD$432,7,FALSE)</f>
        <v>kg</v>
      </c>
      <c r="G17" s="546" t="str">
        <f>G9</f>
        <v>01.001</v>
      </c>
      <c r="H17" s="955">
        <f>0.07*2150</f>
        <v>150.50000000000003</v>
      </c>
      <c r="I17" s="539"/>
      <c r="J17" s="538">
        <v>60</v>
      </c>
      <c r="K17" s="879">
        <f>$H17*_xlfn.XLOOKUP($G17,'Baumaterialien Matériaux'!$A:$A,'Baumaterialien Matériaux'!V:V,0,0)</f>
        <v>11.543350000000002</v>
      </c>
      <c r="L17" s="879">
        <f>$H17*_xlfn.XLOOKUP($G17,'Baumaterialien Matériaux'!$A:$A,'Baumaterialien Matériaux'!Y:Y,0,0)</f>
        <v>7.7658000000000014</v>
      </c>
      <c r="M17" s="879">
        <f>$H17*_xlfn.XLOOKUP($G17,'Baumaterialien Matériaux'!$A:$A,'Baumaterialien Matériaux'!AA:AA,0,0)</f>
        <v>7.5551000000000013</v>
      </c>
      <c r="N17" s="879">
        <f>$H17*_xlfn.XLOOKUP($G17,'Baumaterialien Matériaux'!$A:$A,'Baumaterialien Matériaux'!AB:AB,0,0)</f>
        <v>1.8963000000000003</v>
      </c>
      <c r="O17" s="879">
        <f>$H17*_xlfn.XLOOKUP($G17,'Baumaterialien Matériaux'!$A:$A,'Baumaterialien Matériaux'!AC:AC,0,0)*44/12</f>
        <v>0</v>
      </c>
      <c r="P17" s="879">
        <f>$H17*_xlfn.XLOOKUP($G17,'Baumaterialien Matériaux'!$A:$A,'Baumaterialien Matériaux'!AG:AG,0,0)</f>
        <v>0</v>
      </c>
      <c r="Q17" s="879">
        <f>$H17*_xlfn.XLOOKUP($G17,'Baumaterialien Matériaux'!$A:$A,'Baumaterialien Matériaux'!AH:AH,0,0)</f>
        <v>0</v>
      </c>
      <c r="U17" s="1785"/>
      <c r="V17" s="1785"/>
    </row>
    <row r="18" spans="1:22" s="540" customFormat="1">
      <c r="A18" s="796"/>
      <c r="B18" s="1930"/>
      <c r="C18" s="538" t="str">
        <f>C10</f>
        <v>Hochbaubeton / béton pour bâtiment, 30 cm [kg], 2'300 [kg/m3]</v>
      </c>
      <c r="D18" s="538" t="str">
        <f>VLOOKUP(G18,'Baumaterialien Matériaux'!$A$10:$AD$432,30,FALSE)</f>
        <v>Béton pour bâtiment (sans armature)</v>
      </c>
      <c r="E18" s="1785"/>
      <c r="F18" s="538" t="str">
        <f>VLOOKUP(G18,'Baumaterialien Matériaux'!$A$10:$AD$432,7,FALSE)</f>
        <v>kg</v>
      </c>
      <c r="G18" s="546" t="str">
        <f>G10</f>
        <v>01.002</v>
      </c>
      <c r="H18" s="955">
        <f>(0.3-H19/7850)*2300</f>
        <v>680.77070063694271</v>
      </c>
      <c r="I18" s="539"/>
      <c r="J18" s="538">
        <v>60</v>
      </c>
      <c r="K18" s="879">
        <f>$H18*_xlfn.XLOOKUP($G18,'Baumaterialien Matériaux'!$A:$A,'Baumaterialien Matériaux'!V:V,0,0)</f>
        <v>83.734796178343956</v>
      </c>
      <c r="L18" s="879">
        <f>$H18*_xlfn.XLOOKUP($G18,'Baumaterialien Matériaux'!$A:$A,'Baumaterialien Matériaux'!Y:Y,0,0)</f>
        <v>34.923536942675163</v>
      </c>
      <c r="M18" s="879">
        <f>$H18*_xlfn.XLOOKUP($G18,'Baumaterialien Matériaux'!$A:$A,'Baumaterialien Matériaux'!AA:AA,0,0)</f>
        <v>60.384361146496822</v>
      </c>
      <c r="N18" s="879">
        <f>$H18*_xlfn.XLOOKUP($G18,'Baumaterialien Matériaux'!$A:$A,'Baumaterialien Matériaux'!AB:AB,0,0)</f>
        <v>8.577710828025479</v>
      </c>
      <c r="O18" s="879">
        <f>$H18*_xlfn.XLOOKUP($G18,'Baumaterialien Matériaux'!$A:$A,'Baumaterialien Matériaux'!AC:AC,0,0)*44/12</f>
        <v>0</v>
      </c>
      <c r="P18" s="879">
        <f>$H18*_xlfn.XLOOKUP($G18,'Baumaterialien Matériaux'!$A:$A,'Baumaterialien Matériaux'!AG:AG,0,0)</f>
        <v>0</v>
      </c>
      <c r="Q18" s="879">
        <f>$H18*_xlfn.XLOOKUP($G18,'Baumaterialien Matériaux'!$A:$A,'Baumaterialien Matériaux'!AH:AH,0,0)</f>
        <v>0</v>
      </c>
      <c r="U18" s="1785"/>
      <c r="V18" s="1785"/>
    </row>
    <row r="19" spans="1:22" s="540" customFormat="1">
      <c r="A19" s="796"/>
      <c r="B19" s="1931"/>
      <c r="C19" s="538" t="str">
        <f>C11</f>
        <v>Armierungsstahl / Acier d'armature [kg], 7'850 [kg/m3]</v>
      </c>
      <c r="D19" s="538" t="str">
        <f>VLOOKUP(G19,'Baumaterialien Matériaux'!$A$10:$AD$432,30,FALSE)</f>
        <v>Acier d'armature</v>
      </c>
      <c r="E19" s="1785"/>
      <c r="F19" s="538" t="str">
        <f>VLOOKUP(G19,'Baumaterialien Matériaux'!$A$10:$AD$432,7,FALSE)</f>
        <v>kg</v>
      </c>
      <c r="G19" s="546" t="str">
        <f>G11</f>
        <v>06.003</v>
      </c>
      <c r="H19" s="955">
        <f>105*0.3</f>
        <v>31.5</v>
      </c>
      <c r="I19" s="539"/>
      <c r="J19" s="538">
        <v>60</v>
      </c>
      <c r="K19" s="879">
        <f>$H19*_xlfn.XLOOKUP($G19,'Baumaterialien Matériaux'!$A:$A,'Baumaterialien Matériaux'!V:V,0,0)</f>
        <v>106.78500000000001</v>
      </c>
      <c r="L19" s="879">
        <f>$H19*_xlfn.XLOOKUP($G19,'Baumaterialien Matériaux'!$A:$A,'Baumaterialien Matériaux'!Y:Y,0,0)</f>
        <v>1.5907500000000001</v>
      </c>
      <c r="M19" s="879">
        <f>$H19*_xlfn.XLOOKUP($G19,'Baumaterialien Matériaux'!$A:$A,'Baumaterialien Matériaux'!AA:AA,0,0)</f>
        <v>24.349499999999999</v>
      </c>
      <c r="N19" s="879">
        <f>$H19*_xlfn.XLOOKUP($G19,'Baumaterialien Matériaux'!$A:$A,'Baumaterialien Matériaux'!AB:AB,0,0)</f>
        <v>0.38430000000000003</v>
      </c>
      <c r="O19" s="879">
        <f>$H19*_xlfn.XLOOKUP($G19,'Baumaterialien Matériaux'!$A:$A,'Baumaterialien Matériaux'!AC:AC,0,0)*44/12</f>
        <v>0</v>
      </c>
      <c r="P19" s="879">
        <f>$H19*_xlfn.XLOOKUP($G19,'Baumaterialien Matériaux'!$A:$A,'Baumaterialien Matériaux'!AG:AG,0,0)</f>
        <v>0</v>
      </c>
      <c r="Q19" s="879">
        <f>$H19*_xlfn.XLOOKUP($G19,'Baumaterialien Matériaux'!$A:$A,'Baumaterialien Matériaux'!AH:AH,0,0)</f>
        <v>0</v>
      </c>
      <c r="U19" s="1785"/>
      <c r="V19" s="1785"/>
    </row>
    <row r="20" spans="1:22" s="540" customFormat="1">
      <c r="A20" s="796"/>
      <c r="B20" s="1932" t="s">
        <v>574</v>
      </c>
      <c r="C20" s="538" t="s">
        <v>575</v>
      </c>
      <c r="D20" s="538" t="str">
        <f>VLOOKUP(G20,'Baumaterialien Matériaux'!$A$10:$AD$432,30,FALSE)</f>
        <v>Émulsion de bitume, 1 couche</v>
      </c>
      <c r="E20" s="1785"/>
      <c r="F20" s="538" t="str">
        <f>VLOOKUP(G20,'Baumaterialien Matériaux'!$A$10:$AD$432,7,FALSE)</f>
        <v>m2</v>
      </c>
      <c r="G20" s="562" t="s">
        <v>576</v>
      </c>
      <c r="H20" s="955">
        <v>2</v>
      </c>
      <c r="I20" s="539"/>
      <c r="J20" s="538">
        <v>60</v>
      </c>
      <c r="K20" s="879">
        <f>$H20*_xlfn.XLOOKUP($G20,'Baumaterialien Matériaux'!$A:$A,'Baumaterialien Matériaux'!V:V,0,0)</f>
        <v>3.68</v>
      </c>
      <c r="L20" s="879">
        <f>$H20*_xlfn.XLOOKUP($G20,'Baumaterialien Matériaux'!$A:$A,'Baumaterialien Matériaux'!Y:Y,0,0)</f>
        <v>2.8000000000000001E-2</v>
      </c>
      <c r="M20" s="879">
        <f>$H20*_xlfn.XLOOKUP($G20,'Baumaterialien Matériaux'!$A:$A,'Baumaterialien Matériaux'!AA:AA,0,0)</f>
        <v>0.26800000000000002</v>
      </c>
      <c r="N20" s="879">
        <f>$H20*_xlfn.XLOOKUP($G20,'Baumaterialien Matériaux'!$A:$A,'Baumaterialien Matériaux'!AB:AB,0,0)</f>
        <v>9.3600000000000003E-2</v>
      </c>
      <c r="O20" s="879">
        <f>$H20*_xlfn.XLOOKUP($G20,'Baumaterialien Matériaux'!$A:$A,'Baumaterialien Matériaux'!AC:AC,0,0)*44/12</f>
        <v>0</v>
      </c>
      <c r="P20" s="879">
        <f>$H20*_xlfn.XLOOKUP($G20,'Baumaterialien Matériaux'!$A:$A,'Baumaterialien Matériaux'!AG:AG,0,0)</f>
        <v>0</v>
      </c>
      <c r="Q20" s="879">
        <f>$H20*_xlfn.XLOOKUP($G20,'Baumaterialien Matériaux'!$A:$A,'Baumaterialien Matériaux'!AH:AH,0,0)</f>
        <v>0</v>
      </c>
      <c r="U20" s="1785"/>
      <c r="V20" s="1785"/>
    </row>
    <row r="21" spans="1:22" s="540" customFormat="1">
      <c r="A21" s="796"/>
      <c r="B21" s="1933"/>
      <c r="C21" s="538" t="s">
        <v>577</v>
      </c>
      <c r="D21" s="538" t="str">
        <f>VLOOKUP(G21,'Baumaterialien Matériaux'!$A$10:$AD$432,30,FALSE)</f>
        <v>Polyéthylène (HDPE)</v>
      </c>
      <c r="E21" s="1785"/>
      <c r="F21" s="538" t="str">
        <f>VLOOKUP(G21,'Baumaterialien Matériaux'!$A$10:$AD$432,7,FALSE)</f>
        <v>kg</v>
      </c>
      <c r="G21" s="546" t="s">
        <v>578</v>
      </c>
      <c r="H21" s="955">
        <v>2.5</v>
      </c>
      <c r="I21" s="539"/>
      <c r="J21" s="538">
        <v>60</v>
      </c>
      <c r="K21" s="879">
        <f>$H21*_xlfn.XLOOKUP($G21,'Baumaterialien Matériaux'!$A:$A,'Baumaterialien Matériaux'!V:V,0,0)</f>
        <v>57.5</v>
      </c>
      <c r="L21" s="879">
        <f>$H21*_xlfn.XLOOKUP($G21,'Baumaterialien Matériaux'!$A:$A,'Baumaterialien Matériaux'!Y:Y,0,0)</f>
        <v>0.52249999999999996</v>
      </c>
      <c r="M21" s="879">
        <f>$H21*_xlfn.XLOOKUP($G21,'Baumaterialien Matériaux'!$A:$A,'Baumaterialien Matériaux'!AA:AA,0,0)</f>
        <v>5.9499999999999993</v>
      </c>
      <c r="N21" s="879">
        <f>$H21*_xlfn.XLOOKUP($G21,'Baumaterialien Matériaux'!$A:$A,'Baumaterialien Matériaux'!AB:AB,0,0)</f>
        <v>5.9250000000000007</v>
      </c>
      <c r="O21" s="879">
        <f>$H21*_xlfn.XLOOKUP($G21,'Baumaterialien Matériaux'!$A:$A,'Baumaterialien Matériaux'!AC:AC,0,0)*44/12</f>
        <v>0</v>
      </c>
      <c r="P21" s="879">
        <f>$H21*_xlfn.XLOOKUP($G21,'Baumaterialien Matériaux'!$A:$A,'Baumaterialien Matériaux'!AG:AG,0,0)</f>
        <v>0</v>
      </c>
      <c r="Q21" s="879">
        <f>$H21*_xlfn.XLOOKUP($G21,'Baumaterialien Matériaux'!$A:$A,'Baumaterialien Matériaux'!AH:AH,0,0)</f>
        <v>0</v>
      </c>
      <c r="U21" s="1785"/>
      <c r="V21" s="1785"/>
    </row>
    <row r="22" spans="1:22" s="540" customFormat="1" ht="28.5">
      <c r="A22" s="796"/>
      <c r="B22" s="939" t="s">
        <v>583</v>
      </c>
      <c r="C22" s="555" t="s">
        <v>584</v>
      </c>
      <c r="D22" s="538" t="str">
        <f>VLOOKUP(G22,'Baumaterialien Matériaux'!$A$10:$AD$432,30,FALSE)</f>
        <v>Verre cellulaire</v>
      </c>
      <c r="E22" s="1785"/>
      <c r="F22" s="538" t="str">
        <f>VLOOKUP(G22,'Baumaterialien Matériaux'!$A$10:$AD$432,7,FALSE)</f>
        <v>kg</v>
      </c>
      <c r="G22" s="538" t="s">
        <v>585</v>
      </c>
      <c r="H22" s="955">
        <f>0.25*115</f>
        <v>28.75</v>
      </c>
      <c r="I22" s="539"/>
      <c r="J22" s="538">
        <v>60</v>
      </c>
      <c r="K22" s="879">
        <f>$H22*_xlfn.XLOOKUP($G22,'Baumaterialien Matériaux'!$A:$A,'Baumaterialien Matériaux'!V:V,0,0)</f>
        <v>146.91250000000002</v>
      </c>
      <c r="L22" s="879">
        <f>$H22*_xlfn.XLOOKUP($G22,'Baumaterialien Matériaux'!$A:$A,'Baumaterialien Matériaux'!Y:Y,0,0)</f>
        <v>1.5122500000000001</v>
      </c>
      <c r="M22" s="879">
        <f>$H22*_xlfn.XLOOKUP($G22,'Baumaterialien Matériaux'!$A:$A,'Baumaterialien Matériaux'!AA:AA,0,0)</f>
        <v>33.637499999999996</v>
      </c>
      <c r="N22" s="879">
        <f>$H22*_xlfn.XLOOKUP($G22,'Baumaterialien Matériaux'!$A:$A,'Baumaterialien Matériaux'!AB:AB,0,0)</f>
        <v>0.36512499999999998</v>
      </c>
      <c r="O22" s="879">
        <f>$H22*_xlfn.XLOOKUP($G22,'Baumaterialien Matériaux'!$A:$A,'Baumaterialien Matériaux'!AC:AC,0,0)*44/12</f>
        <v>0</v>
      </c>
      <c r="P22" s="879">
        <f>$H22*_xlfn.XLOOKUP($G22,'Baumaterialien Matériaux'!$A:$A,'Baumaterialien Matériaux'!AG:AG,0,0)</f>
        <v>0</v>
      </c>
      <c r="Q22" s="879">
        <f>$H22*_xlfn.XLOOKUP($G22,'Baumaterialien Matériaux'!$A:$A,'Baumaterialien Matériaux'!AH:AH,0,0)</f>
        <v>0</v>
      </c>
      <c r="U22" s="1785"/>
      <c r="V22" s="1785"/>
    </row>
    <row r="23" spans="1:22" s="551" customFormat="1" ht="15.75" customHeight="1" thickBot="1">
      <c r="B23" s="942"/>
      <c r="H23" s="957"/>
      <c r="I23" s="943"/>
      <c r="J23" s="553">
        <v>60</v>
      </c>
      <c r="K23" s="881">
        <f t="shared" ref="K23:L23" si="2">SUM(K17:K22)</f>
        <v>410.155646178344</v>
      </c>
      <c r="L23" s="881">
        <f t="shared" si="2"/>
        <v>46.342836942675163</v>
      </c>
      <c r="M23" s="881">
        <f>SUM(M17:M22)</f>
        <v>132.14446114649684</v>
      </c>
      <c r="N23" s="881">
        <f>SUM(N17:N22)</f>
        <v>17.242035828025479</v>
      </c>
      <c r="O23" s="881">
        <f>SUM(O17:O22)</f>
        <v>0</v>
      </c>
      <c r="P23" s="881">
        <f>SUM(P17:P22)</f>
        <v>0</v>
      </c>
      <c r="Q23" s="881">
        <f>SUM(Q17:Q22)</f>
        <v>0</v>
      </c>
      <c r="S23" s="702">
        <f>(M23+N23)/J23</f>
        <v>2.4897749495753718</v>
      </c>
      <c r="T23" s="551">
        <v>2.71</v>
      </c>
    </row>
    <row r="24" spans="1:22">
      <c r="H24" s="956"/>
      <c r="I24" s="126"/>
      <c r="K24" s="150"/>
      <c r="L24" s="150"/>
      <c r="M24" s="150"/>
      <c r="N24" s="150"/>
      <c r="O24" s="150"/>
      <c r="P24" s="150"/>
      <c r="Q24" s="150"/>
    </row>
    <row r="25" spans="1:22">
      <c r="K25" s="150"/>
      <c r="L25" s="150"/>
      <c r="M25" s="150"/>
      <c r="N25" s="150"/>
      <c r="O25" s="150"/>
      <c r="P25" s="150"/>
      <c r="Q25" s="150"/>
    </row>
    <row r="26" spans="1:22" s="645" customFormat="1" ht="17.25">
      <c r="A26" s="643" t="s">
        <v>227</v>
      </c>
      <c r="B26" s="643" t="str">
        <f>'Outil détaillé'!D13</f>
        <v>Parois extérieures souterraines</v>
      </c>
      <c r="C26" s="643"/>
      <c r="D26" s="643"/>
      <c r="E26" s="643"/>
      <c r="F26" s="643"/>
      <c r="G26" s="643"/>
      <c r="H26" s="958" t="s">
        <v>586</v>
      </c>
      <c r="I26" s="644"/>
      <c r="K26" s="884"/>
      <c r="L26" s="884"/>
      <c r="M26" s="884"/>
      <c r="N26" s="884"/>
      <c r="O26" s="884"/>
      <c r="P26" s="884"/>
      <c r="Q26" s="884"/>
      <c r="U26" s="643"/>
      <c r="V26" s="643"/>
    </row>
    <row r="27" spans="1:22" s="540" customFormat="1" ht="19.5" customHeight="1">
      <c r="A27" s="556" t="s">
        <v>110</v>
      </c>
      <c r="B27" s="1924" t="s">
        <v>587</v>
      </c>
      <c r="C27" s="538" t="s">
        <v>588</v>
      </c>
      <c r="D27" s="538" t="str">
        <f>VLOOKUP(G27,'Baumaterialien Matériaux'!$A$10:$AD$432,30,FALSE)</f>
        <v>Béton pour bâtiment (sans armature)</v>
      </c>
      <c r="E27" s="1785"/>
      <c r="F27" s="538" t="str">
        <f>VLOOKUP(G27,'Baumaterialien Matériaux'!$A$10:$AD$432,7,FALSE)</f>
        <v>kg</v>
      </c>
      <c r="G27" s="561" t="s">
        <v>570</v>
      </c>
      <c r="H27" s="955">
        <f>(0.25-H28/7850)*2300</f>
        <v>567.85828025477701</v>
      </c>
      <c r="I27" s="539"/>
      <c r="J27" s="538">
        <v>60</v>
      </c>
      <c r="K27" s="879">
        <f>$H27*_xlfn.XLOOKUP($G27,'Baumaterialien Matériaux'!$A:$A,'Baumaterialien Matériaux'!V:V,0,0)</f>
        <v>69.846568471337577</v>
      </c>
      <c r="L27" s="879">
        <f>$H27*_xlfn.XLOOKUP($G27,'Baumaterialien Matériaux'!$A:$A,'Baumaterialien Matériaux'!Y:Y,0,0)</f>
        <v>29.131129777070061</v>
      </c>
      <c r="M27" s="879">
        <f>$H27*_xlfn.XLOOKUP($G27,'Baumaterialien Matériaux'!$A:$A,'Baumaterialien Matériaux'!AA:AA,0,0)</f>
        <v>50.369029458598725</v>
      </c>
      <c r="N27" s="879">
        <f>$H27*_xlfn.XLOOKUP($G27,'Baumaterialien Matériaux'!$A:$A,'Baumaterialien Matériaux'!AB:AB,0,0)</f>
        <v>7.1550143312101904</v>
      </c>
      <c r="O27" s="879">
        <f>$H27*_xlfn.XLOOKUP($G27,'Baumaterialien Matériaux'!$A:$A,'Baumaterialien Matériaux'!AC:AC,0,0)*44/12</f>
        <v>0</v>
      </c>
      <c r="P27" s="879">
        <f>$H27*_xlfn.XLOOKUP($G27,'Baumaterialien Matériaux'!$A:$A,'Baumaterialien Matériaux'!AG:AG,0,0)</f>
        <v>0</v>
      </c>
      <c r="Q27" s="879">
        <f>$H27*_xlfn.XLOOKUP($G27,'Baumaterialien Matériaux'!$A:$A,'Baumaterialien Matériaux'!AH:AH,0,0)</f>
        <v>0</v>
      </c>
      <c r="U27" s="1785"/>
      <c r="V27" s="1785"/>
    </row>
    <row r="28" spans="1:22" s="540" customFormat="1">
      <c r="B28" s="1926"/>
      <c r="C28" s="538" t="s">
        <v>571</v>
      </c>
      <c r="D28" s="538" t="str">
        <f>VLOOKUP(G28,'Baumaterialien Matériaux'!$A$10:$AD$432,30,FALSE)</f>
        <v>Acier d'armature</v>
      </c>
      <c r="E28" s="1785"/>
      <c r="F28" s="538" t="str">
        <f>VLOOKUP(G28,'Baumaterialien Matériaux'!$A$10:$AD$432,7,FALSE)</f>
        <v>kg</v>
      </c>
      <c r="G28" s="538" t="s">
        <v>572</v>
      </c>
      <c r="H28" s="955">
        <f>97.5*0.25</f>
        <v>24.375</v>
      </c>
      <c r="I28" s="539"/>
      <c r="J28" s="538">
        <v>60</v>
      </c>
      <c r="K28" s="879">
        <f>$H28*_xlfn.XLOOKUP($G28,'Baumaterialien Matériaux'!$A:$A,'Baumaterialien Matériaux'!V:V,0,0)</f>
        <v>82.631250000000009</v>
      </c>
      <c r="L28" s="879">
        <f>$H28*_xlfn.XLOOKUP($G28,'Baumaterialien Matériaux'!$A:$A,'Baumaterialien Matériaux'!Y:Y,0,0)</f>
        <v>1.2309375</v>
      </c>
      <c r="M28" s="879">
        <f>$H28*_xlfn.XLOOKUP($G28,'Baumaterialien Matériaux'!$A:$A,'Baumaterialien Matériaux'!AA:AA,0,0)</f>
        <v>18.841875000000002</v>
      </c>
      <c r="N28" s="879">
        <f>$H28*_xlfn.XLOOKUP($G28,'Baumaterialien Matériaux'!$A:$A,'Baumaterialien Matériaux'!AB:AB,0,0)</f>
        <v>0.297375</v>
      </c>
      <c r="O28" s="879">
        <f>$H28*_xlfn.XLOOKUP($G28,'Baumaterialien Matériaux'!$A:$A,'Baumaterialien Matériaux'!AC:AC,0,0)*44/12</f>
        <v>0</v>
      </c>
      <c r="P28" s="879">
        <f>$H28*_xlfn.XLOOKUP($G28,'Baumaterialien Matériaux'!$A:$A,'Baumaterialien Matériaux'!AG:AG,0,0)</f>
        <v>0</v>
      </c>
      <c r="Q28" s="879">
        <f>$H28*_xlfn.XLOOKUP($G28,'Baumaterialien Matériaux'!$A:$A,'Baumaterialien Matériaux'!AH:AH,0,0)</f>
        <v>0</v>
      </c>
      <c r="U28" s="1785"/>
      <c r="V28" s="1785"/>
    </row>
    <row r="29" spans="1:22" s="540" customFormat="1">
      <c r="B29" s="1926"/>
      <c r="C29" s="538" t="s">
        <v>589</v>
      </c>
      <c r="D29" s="538" t="str">
        <f>VLOOKUP(G29,'Baumaterialien Matériaux'!$A$10:$AD$432,30,FALSE)</f>
        <v>Bois massif 3 et 5 plis</v>
      </c>
      <c r="E29" s="1785"/>
      <c r="F29" s="538" t="str">
        <f>VLOOKUP(G29,'Baumaterialien Matériaux'!$A$10:$AD$432,7,FALSE)</f>
        <v>kg</v>
      </c>
      <c r="G29" s="538" t="s">
        <v>590</v>
      </c>
      <c r="H29" s="955">
        <f>2/5*0.025*470</f>
        <v>4.7000000000000011</v>
      </c>
      <c r="I29" s="539"/>
      <c r="J29" s="538">
        <v>60</v>
      </c>
      <c r="K29" s="879">
        <f>$H29*_xlfn.XLOOKUP($G29,'Baumaterialien Matériaux'!$A:$A,'Baumaterialien Matériaux'!V:V,0,0)</f>
        <v>9.8230000000000022</v>
      </c>
      <c r="L29" s="879">
        <f>$H29*_xlfn.XLOOKUP($G29,'Baumaterialien Matériaux'!$A:$A,'Baumaterialien Matériaux'!Y:Y,0,0)</f>
        <v>0.43381000000000008</v>
      </c>
      <c r="M29" s="879">
        <f>$H29*_xlfn.XLOOKUP($G29,'Baumaterialien Matériaux'!$A:$A,'Baumaterialien Matériaux'!AA:AA,0,0)</f>
        <v>1.9458000000000004</v>
      </c>
      <c r="N29" s="879">
        <f>$H29*_xlfn.XLOOKUP($G29,'Baumaterialien Matériaux'!$A:$A,'Baumaterialien Matériaux'!AB:AB,0,0)</f>
        <v>0.25991000000000009</v>
      </c>
      <c r="O29" s="879">
        <f>$H29*_xlfn.XLOOKUP($G29,'Baumaterialien Matériaux'!$A:$A,'Baumaterialien Matériaux'!AC:AC,0,0)*44/12</f>
        <v>7.4620333333333342</v>
      </c>
      <c r="P29" s="879">
        <f>$H29*_xlfn.XLOOKUP($G29,'Baumaterialien Matériaux'!$A:$A,'Baumaterialien Matériaux'!AG:AG,0,0)</f>
        <v>0</v>
      </c>
      <c r="Q29" s="879">
        <f>$H29*_xlfn.XLOOKUP($G29,'Baumaterialien Matériaux'!$A:$A,'Baumaterialien Matériaux'!AH:AH,0,0)</f>
        <v>0</v>
      </c>
      <c r="U29" s="1785"/>
      <c r="V29" s="1785"/>
    </row>
    <row r="30" spans="1:22" s="540" customFormat="1">
      <c r="B30" s="1926"/>
      <c r="C30" s="538" t="s">
        <v>575</v>
      </c>
      <c r="D30" s="538" t="str">
        <f>VLOOKUP(G30,'Baumaterialien Matériaux'!$A$10:$AD$432,30,FALSE)</f>
        <v>Émulsion de bitume, 1 couche</v>
      </c>
      <c r="E30" s="1785"/>
      <c r="F30" s="538" t="str">
        <f>VLOOKUP(G30,'Baumaterialien Matériaux'!$A$10:$AD$432,7,FALSE)</f>
        <v>m2</v>
      </c>
      <c r="G30" s="562" t="s">
        <v>576</v>
      </c>
      <c r="H30" s="955">
        <v>2</v>
      </c>
      <c r="I30" s="539"/>
      <c r="J30" s="538">
        <v>60</v>
      </c>
      <c r="K30" s="879">
        <f>$H30*_xlfn.XLOOKUP($G30,'Baumaterialien Matériaux'!$A:$A,'Baumaterialien Matériaux'!V:V,0,0)</f>
        <v>3.68</v>
      </c>
      <c r="L30" s="879">
        <f>$H30*_xlfn.XLOOKUP($G30,'Baumaterialien Matériaux'!$A:$A,'Baumaterialien Matériaux'!Y:Y,0,0)</f>
        <v>2.8000000000000001E-2</v>
      </c>
      <c r="M30" s="879">
        <f>$H30*_xlfn.XLOOKUP($G30,'Baumaterialien Matériaux'!$A:$A,'Baumaterialien Matériaux'!AA:AA,0,0)</f>
        <v>0.26800000000000002</v>
      </c>
      <c r="N30" s="879">
        <f>$H30*_xlfn.XLOOKUP($G30,'Baumaterialien Matériaux'!$A:$A,'Baumaterialien Matériaux'!AB:AB,0,0)</f>
        <v>9.3600000000000003E-2</v>
      </c>
      <c r="O30" s="879">
        <f>$H30*_xlfn.XLOOKUP($G30,'Baumaterialien Matériaux'!$A:$A,'Baumaterialien Matériaux'!AC:AC,0,0)*44/12</f>
        <v>0</v>
      </c>
      <c r="P30" s="879">
        <f>$H30*_xlfn.XLOOKUP($G30,'Baumaterialien Matériaux'!$A:$A,'Baumaterialien Matériaux'!AG:AG,0,0)</f>
        <v>0</v>
      </c>
      <c r="Q30" s="879">
        <f>$H30*_xlfn.XLOOKUP($G30,'Baumaterialien Matériaux'!$A:$A,'Baumaterialien Matériaux'!AH:AH,0,0)</f>
        <v>0</v>
      </c>
      <c r="U30" s="1785"/>
      <c r="V30" s="1785"/>
    </row>
    <row r="31" spans="1:22" s="540" customFormat="1">
      <c r="B31" s="1925"/>
      <c r="C31" s="538" t="s">
        <v>577</v>
      </c>
      <c r="D31" s="538" t="str">
        <f>VLOOKUP(G31,'Baumaterialien Matériaux'!$A$10:$AD$432,30,FALSE)</f>
        <v>Polyéthylène (HDPE)</v>
      </c>
      <c r="E31" s="1785"/>
      <c r="F31" s="538" t="str">
        <f>VLOOKUP(G31,'Baumaterialien Matériaux'!$A$10:$AD$432,7,FALSE)</f>
        <v>kg</v>
      </c>
      <c r="G31" s="563" t="s">
        <v>578</v>
      </c>
      <c r="H31" s="955">
        <v>2.5</v>
      </c>
      <c r="I31" s="539"/>
      <c r="J31" s="538">
        <v>60</v>
      </c>
      <c r="K31" s="879">
        <f>$H31*_xlfn.XLOOKUP($G31,'Baumaterialien Matériaux'!$A:$A,'Baumaterialien Matériaux'!V:V,0,0)</f>
        <v>57.5</v>
      </c>
      <c r="L31" s="879">
        <f>$H31*_xlfn.XLOOKUP($G31,'Baumaterialien Matériaux'!$A:$A,'Baumaterialien Matériaux'!Y:Y,0,0)</f>
        <v>0.52249999999999996</v>
      </c>
      <c r="M31" s="879">
        <f>$H31*_xlfn.XLOOKUP($G31,'Baumaterialien Matériaux'!$A:$A,'Baumaterialien Matériaux'!AA:AA,0,0)</f>
        <v>5.9499999999999993</v>
      </c>
      <c r="N31" s="879">
        <f>$H31*_xlfn.XLOOKUP($G31,'Baumaterialien Matériaux'!$A:$A,'Baumaterialien Matériaux'!AB:AB,0,0)</f>
        <v>5.9250000000000007</v>
      </c>
      <c r="O31" s="879">
        <f>$H31*_xlfn.XLOOKUP($G31,'Baumaterialien Matériaux'!$A:$A,'Baumaterialien Matériaux'!AC:AC,0,0)*44/12</f>
        <v>0</v>
      </c>
      <c r="P31" s="879">
        <f>$H31*_xlfn.XLOOKUP($G31,'Baumaterialien Matériaux'!$A:$A,'Baumaterialien Matériaux'!AG:AG,0,0)</f>
        <v>0</v>
      </c>
      <c r="Q31" s="879">
        <f>$H31*_xlfn.XLOOKUP($G31,'Baumaterialien Matériaux'!$A:$A,'Baumaterialien Matériaux'!AH:AH,0,0)</f>
        <v>0</v>
      </c>
      <c r="U31" s="1785"/>
      <c r="V31" s="1785"/>
    </row>
    <row r="32" spans="1:22" s="551" customFormat="1" ht="12.75" customHeight="1" thickBot="1">
      <c r="B32" s="942"/>
      <c r="H32" s="957"/>
      <c r="I32" s="943"/>
      <c r="J32" s="553">
        <v>60</v>
      </c>
      <c r="K32" s="881">
        <f t="shared" ref="K32:L32" si="3">SUM(K27:K31)</f>
        <v>223.48081847133759</v>
      </c>
      <c r="L32" s="881">
        <f t="shared" si="3"/>
        <v>31.346377277070061</v>
      </c>
      <c r="M32" s="881">
        <f>SUM(M27:M31)</f>
        <v>77.374704458598728</v>
      </c>
      <c r="N32" s="881">
        <f>SUM(N27:N31)</f>
        <v>13.730899331210191</v>
      </c>
      <c r="O32" s="881">
        <f>SUM(O27:O31)</f>
        <v>7.4620333333333342</v>
      </c>
      <c r="P32" s="881">
        <f>SUM(P27:P31)</f>
        <v>0</v>
      </c>
      <c r="Q32" s="881">
        <f>SUM(Q27:Q31)</f>
        <v>0</v>
      </c>
      <c r="S32" s="702">
        <f>(M32+N32)/J32</f>
        <v>1.5184267298301488</v>
      </c>
      <c r="T32" s="551">
        <v>1.51</v>
      </c>
    </row>
    <row r="33" spans="1:22">
      <c r="K33" s="150"/>
      <c r="L33" s="150"/>
      <c r="M33" s="150"/>
      <c r="N33" s="150"/>
      <c r="O33" s="150"/>
      <c r="P33" s="150"/>
      <c r="Q33" s="150"/>
    </row>
    <row r="34" spans="1:22" s="540" customFormat="1">
      <c r="A34" s="560" t="s">
        <v>573</v>
      </c>
      <c r="B34" s="1924" t="s">
        <v>587</v>
      </c>
      <c r="C34" s="538" t="str">
        <f>C27</f>
        <v>Hochbaubeton / béton pour bâtiment, 25 cm [kg], 2'300 [kg/m3]</v>
      </c>
      <c r="D34" s="538" t="str">
        <f>VLOOKUP(G34,'Baumaterialien Matériaux'!$A$10:$AD$432,30,FALSE)</f>
        <v>Béton pour bâtiment (sans armature)</v>
      </c>
      <c r="E34" s="1785"/>
      <c r="F34" s="538" t="str">
        <f>VLOOKUP(G34,'Baumaterialien Matériaux'!$A$10:$AD$432,7,FALSE)</f>
        <v>kg</v>
      </c>
      <c r="G34" s="538" t="str">
        <f>G27</f>
        <v>01.002</v>
      </c>
      <c r="H34" s="955">
        <f>(0.25-H35/7850)*2300</f>
        <v>567.85828025477701</v>
      </c>
      <c r="I34" s="539"/>
      <c r="J34" s="538">
        <v>60</v>
      </c>
      <c r="K34" s="879">
        <f>$H34*_xlfn.XLOOKUP($G34,'Baumaterialien Matériaux'!$A:$A,'Baumaterialien Matériaux'!V:V,0,0)</f>
        <v>69.846568471337577</v>
      </c>
      <c r="L34" s="879">
        <f>$H34*_xlfn.XLOOKUP($G34,'Baumaterialien Matériaux'!$A:$A,'Baumaterialien Matériaux'!Y:Y,0,0)</f>
        <v>29.131129777070061</v>
      </c>
      <c r="M34" s="879">
        <f>$H34*_xlfn.XLOOKUP($G34,'Baumaterialien Matériaux'!$A:$A,'Baumaterialien Matériaux'!AA:AA,0,0)</f>
        <v>50.369029458598725</v>
      </c>
      <c r="N34" s="879">
        <f>$H34*_xlfn.XLOOKUP($G34,'Baumaterialien Matériaux'!$A:$A,'Baumaterialien Matériaux'!AB:AB,0,0)</f>
        <v>7.1550143312101904</v>
      </c>
      <c r="O34" s="879">
        <f>$H34*_xlfn.XLOOKUP($G34,'Baumaterialien Matériaux'!$A:$A,'Baumaterialien Matériaux'!AC:AC,0,0)*44/12</f>
        <v>0</v>
      </c>
      <c r="P34" s="879">
        <f>$H34*_xlfn.XLOOKUP($G34,'Baumaterialien Matériaux'!$A:$A,'Baumaterialien Matériaux'!AG:AG,0,0)</f>
        <v>0</v>
      </c>
      <c r="Q34" s="879">
        <f>$H34*_xlfn.XLOOKUP($G34,'Baumaterialien Matériaux'!$A:$A,'Baumaterialien Matériaux'!AH:AH,0,0)</f>
        <v>0</v>
      </c>
      <c r="U34" s="1785"/>
      <c r="V34" s="1785"/>
    </row>
    <row r="35" spans="1:22" s="540" customFormat="1">
      <c r="B35" s="1926"/>
      <c r="C35" s="538" t="str">
        <f t="shared" ref="C35:C38" si="4">C28</f>
        <v>Armierungsstahl / Acier d'armature [kg], 7'850 [kg/m3]</v>
      </c>
      <c r="D35" s="538" t="str">
        <f>VLOOKUP(G35,'Baumaterialien Matériaux'!$A$10:$AD$432,30,FALSE)</f>
        <v>Acier d'armature</v>
      </c>
      <c r="E35" s="1785"/>
      <c r="F35" s="538" t="str">
        <f>VLOOKUP(G35,'Baumaterialien Matériaux'!$A$10:$AD$432,7,FALSE)</f>
        <v>kg</v>
      </c>
      <c r="G35" s="538" t="str">
        <f t="shared" ref="G35:G38" si="5">G28</f>
        <v>06.003</v>
      </c>
      <c r="H35" s="955">
        <f>97.5*0.25</f>
        <v>24.375</v>
      </c>
      <c r="I35" s="539"/>
      <c r="J35" s="538">
        <v>60</v>
      </c>
      <c r="K35" s="879">
        <f>$H35*_xlfn.XLOOKUP($G35,'Baumaterialien Matériaux'!$A:$A,'Baumaterialien Matériaux'!V:V,0,0)</f>
        <v>82.631250000000009</v>
      </c>
      <c r="L35" s="879">
        <f>$H35*_xlfn.XLOOKUP($G35,'Baumaterialien Matériaux'!$A:$A,'Baumaterialien Matériaux'!Y:Y,0,0)</f>
        <v>1.2309375</v>
      </c>
      <c r="M35" s="879">
        <f>$H35*_xlfn.XLOOKUP($G35,'Baumaterialien Matériaux'!$A:$A,'Baumaterialien Matériaux'!AA:AA,0,0)</f>
        <v>18.841875000000002</v>
      </c>
      <c r="N35" s="879">
        <f>$H35*_xlfn.XLOOKUP($G35,'Baumaterialien Matériaux'!$A:$A,'Baumaterialien Matériaux'!AB:AB,0,0)</f>
        <v>0.297375</v>
      </c>
      <c r="O35" s="879">
        <f>$H35*_xlfn.XLOOKUP($G35,'Baumaterialien Matériaux'!$A:$A,'Baumaterialien Matériaux'!AC:AC,0,0)*44/12</f>
        <v>0</v>
      </c>
      <c r="P35" s="879">
        <f>$H35*_xlfn.XLOOKUP($G35,'Baumaterialien Matériaux'!$A:$A,'Baumaterialien Matériaux'!AG:AG,0,0)</f>
        <v>0</v>
      </c>
      <c r="Q35" s="879">
        <f>$H35*_xlfn.XLOOKUP($G35,'Baumaterialien Matériaux'!$A:$A,'Baumaterialien Matériaux'!AH:AH,0,0)</f>
        <v>0</v>
      </c>
      <c r="U35" s="1785"/>
      <c r="V35" s="1785"/>
    </row>
    <row r="36" spans="1:22" s="540" customFormat="1">
      <c r="B36" s="1926"/>
      <c r="C36" s="538" t="str">
        <f t="shared" si="4"/>
        <v>3-SP Schalung/Coffrage 2.5cm (Annahme/Hyp. 5xverwendet/utilisé) [kg]</v>
      </c>
      <c r="D36" s="538" t="str">
        <f>VLOOKUP(G36,'Baumaterialien Matériaux'!$A$10:$AD$432,30,FALSE)</f>
        <v>Bois massif 3 et 5 plis</v>
      </c>
      <c r="E36" s="1785"/>
      <c r="F36" s="538" t="str">
        <f>VLOOKUP(G36,'Baumaterialien Matériaux'!$A$10:$AD$432,7,FALSE)</f>
        <v>kg</v>
      </c>
      <c r="G36" s="538" t="str">
        <f t="shared" si="5"/>
        <v>07.001</v>
      </c>
      <c r="H36" s="955">
        <f>2/5*0.025*470</f>
        <v>4.7000000000000011</v>
      </c>
      <c r="I36" s="539"/>
      <c r="J36" s="538">
        <v>60</v>
      </c>
      <c r="K36" s="879">
        <f>$H36*_xlfn.XLOOKUP($G36,'Baumaterialien Matériaux'!$A:$A,'Baumaterialien Matériaux'!V:V,0,0)</f>
        <v>9.8230000000000022</v>
      </c>
      <c r="L36" s="879">
        <f>$H36*_xlfn.XLOOKUP($G36,'Baumaterialien Matériaux'!$A:$A,'Baumaterialien Matériaux'!Y:Y,0,0)</f>
        <v>0.43381000000000008</v>
      </c>
      <c r="M36" s="879">
        <f>$H36*_xlfn.XLOOKUP($G36,'Baumaterialien Matériaux'!$A:$A,'Baumaterialien Matériaux'!AA:AA,0,0)</f>
        <v>1.9458000000000004</v>
      </c>
      <c r="N36" s="879">
        <f>$H36*_xlfn.XLOOKUP($G36,'Baumaterialien Matériaux'!$A:$A,'Baumaterialien Matériaux'!AB:AB,0,0)</f>
        <v>0.25991000000000009</v>
      </c>
      <c r="O36" s="879">
        <f>$H36*_xlfn.XLOOKUP($G36,'Baumaterialien Matériaux'!$A:$A,'Baumaterialien Matériaux'!AC:AC,0,0)*44/12</f>
        <v>7.4620333333333342</v>
      </c>
      <c r="P36" s="879">
        <f>$H36*_xlfn.XLOOKUP($G36,'Baumaterialien Matériaux'!$A:$A,'Baumaterialien Matériaux'!AG:AG,0,0)</f>
        <v>0</v>
      </c>
      <c r="Q36" s="879">
        <f>$H36*_xlfn.XLOOKUP($G36,'Baumaterialien Matériaux'!$A:$A,'Baumaterialien Matériaux'!AH:AH,0,0)</f>
        <v>0</v>
      </c>
      <c r="U36" s="1785"/>
      <c r="V36" s="1785"/>
    </row>
    <row r="37" spans="1:22" s="540" customFormat="1">
      <c r="B37" s="1926"/>
      <c r="C37" s="538" t="str">
        <f t="shared" si="4"/>
        <v>Bitumenanstrich / Emulsion de bitume [m2]</v>
      </c>
      <c r="D37" s="538" t="str">
        <f>VLOOKUP(G37,'Baumaterialien Matériaux'!$A$10:$AD$432,30,FALSE)</f>
        <v>Émulsion de bitume, 1 couche</v>
      </c>
      <c r="E37" s="1785"/>
      <c r="F37" s="538" t="str">
        <f>VLOOKUP(G37,'Baumaterialien Matériaux'!$A$10:$AD$432,7,FALSE)</f>
        <v>m2</v>
      </c>
      <c r="G37" s="538" t="str">
        <f t="shared" si="5"/>
        <v>14.003</v>
      </c>
      <c r="H37" s="955">
        <v>2</v>
      </c>
      <c r="I37" s="539"/>
      <c r="J37" s="538">
        <v>60</v>
      </c>
      <c r="K37" s="879">
        <f>$H37*_xlfn.XLOOKUP($G37,'Baumaterialien Matériaux'!$A:$A,'Baumaterialien Matériaux'!V:V,0,0)</f>
        <v>3.68</v>
      </c>
      <c r="L37" s="879">
        <f>$H37*_xlfn.XLOOKUP($G37,'Baumaterialien Matériaux'!$A:$A,'Baumaterialien Matériaux'!Y:Y,0,0)</f>
        <v>2.8000000000000001E-2</v>
      </c>
      <c r="M37" s="879">
        <f>$H37*_xlfn.XLOOKUP($G37,'Baumaterialien Matériaux'!$A:$A,'Baumaterialien Matériaux'!AA:AA,0,0)</f>
        <v>0.26800000000000002</v>
      </c>
      <c r="N37" s="879">
        <f>$H37*_xlfn.XLOOKUP($G37,'Baumaterialien Matériaux'!$A:$A,'Baumaterialien Matériaux'!AB:AB,0,0)</f>
        <v>9.3600000000000003E-2</v>
      </c>
      <c r="O37" s="879">
        <f>$H37*_xlfn.XLOOKUP($G37,'Baumaterialien Matériaux'!$A:$A,'Baumaterialien Matériaux'!AC:AC,0,0)*44/12</f>
        <v>0</v>
      </c>
      <c r="P37" s="879">
        <f>$H37*_xlfn.XLOOKUP($G37,'Baumaterialien Matériaux'!$A:$A,'Baumaterialien Matériaux'!AG:AG,0,0)</f>
        <v>0</v>
      </c>
      <c r="Q37" s="879">
        <f>$H37*_xlfn.XLOOKUP($G37,'Baumaterialien Matériaux'!$A:$A,'Baumaterialien Matériaux'!AH:AH,0,0)</f>
        <v>0</v>
      </c>
      <c r="U37" s="1785"/>
      <c r="V37" s="1785"/>
    </row>
    <row r="38" spans="1:22" s="540" customFormat="1">
      <c r="B38" s="1925"/>
      <c r="C38" s="538" t="str">
        <f t="shared" si="4"/>
        <v>Noppenfolie / Feuille PE [kg]</v>
      </c>
      <c r="D38" s="538" t="str">
        <f>VLOOKUP(G38,'Baumaterialien Matériaux'!$A$10:$AD$432,30,FALSE)</f>
        <v>Polyéthylène (HDPE)</v>
      </c>
      <c r="E38" s="1785"/>
      <c r="F38" s="538" t="str">
        <f>VLOOKUP(G38,'Baumaterialien Matériaux'!$A$10:$AD$432,7,FALSE)</f>
        <v>kg</v>
      </c>
      <c r="G38" s="538" t="str">
        <f t="shared" si="5"/>
        <v>13.002</v>
      </c>
      <c r="H38" s="955">
        <v>2.5</v>
      </c>
      <c r="I38" s="539"/>
      <c r="J38" s="538">
        <v>60</v>
      </c>
      <c r="K38" s="879">
        <f>$H38*_xlfn.XLOOKUP($G38,'Baumaterialien Matériaux'!$A:$A,'Baumaterialien Matériaux'!V:V,0,0)</f>
        <v>57.5</v>
      </c>
      <c r="L38" s="879">
        <f>$H38*_xlfn.XLOOKUP($G38,'Baumaterialien Matériaux'!$A:$A,'Baumaterialien Matériaux'!Y:Y,0,0)</f>
        <v>0.52249999999999996</v>
      </c>
      <c r="M38" s="879">
        <f>$H38*_xlfn.XLOOKUP($G38,'Baumaterialien Matériaux'!$A:$A,'Baumaterialien Matériaux'!AA:AA,0,0)</f>
        <v>5.9499999999999993</v>
      </c>
      <c r="N38" s="879">
        <f>$H38*_xlfn.XLOOKUP($G38,'Baumaterialien Matériaux'!$A:$A,'Baumaterialien Matériaux'!AB:AB,0,0)</f>
        <v>5.9250000000000007</v>
      </c>
      <c r="O38" s="879">
        <f>$H38*_xlfn.XLOOKUP($G38,'Baumaterialien Matériaux'!$A:$A,'Baumaterialien Matériaux'!AC:AC,0,0)*44/12</f>
        <v>0</v>
      </c>
      <c r="P38" s="879">
        <f>$H38*_xlfn.XLOOKUP($G38,'Baumaterialien Matériaux'!$A:$A,'Baumaterialien Matériaux'!AG:AG,0,0)</f>
        <v>0</v>
      </c>
      <c r="Q38" s="879">
        <f>$H38*_xlfn.XLOOKUP($G38,'Baumaterialien Matériaux'!$A:$A,'Baumaterialien Matériaux'!AH:AH,0,0)</f>
        <v>0</v>
      </c>
      <c r="U38" s="1785"/>
      <c r="V38" s="1785"/>
    </row>
    <row r="39" spans="1:22" s="540" customFormat="1" ht="14.1" customHeight="1">
      <c r="B39" s="1924" t="s">
        <v>591</v>
      </c>
      <c r="C39" s="538" t="s">
        <v>580</v>
      </c>
      <c r="D39" s="538" t="str">
        <f>VLOOKUP(G39,'Baumaterialien Matériaux'!$A$10:$AD$432,30,FALSE)</f>
        <v>Polystyrène extrudé (XPS)</v>
      </c>
      <c r="E39" s="1785"/>
      <c r="F39" s="538" t="str">
        <f>VLOOKUP(G39,'Baumaterialien Matériaux'!$A$10:$AD$432,7,FALSE)</f>
        <v>kg</v>
      </c>
      <c r="G39" s="538" t="s">
        <v>581</v>
      </c>
      <c r="H39" s="955">
        <f>0.2*33</f>
        <v>6.6000000000000005</v>
      </c>
      <c r="I39" s="539"/>
      <c r="J39" s="538">
        <v>60</v>
      </c>
      <c r="K39" s="879">
        <f>$H39*_xlfn.XLOOKUP($G39,'Baumaterialien Matériaux'!$A:$A,'Baumaterialien Matériaux'!V:V,0,0)</f>
        <v>192.72</v>
      </c>
      <c r="L39" s="879">
        <f>$H39*_xlfn.XLOOKUP($G39,'Baumaterialien Matériaux'!$A:$A,'Baumaterialien Matériaux'!Y:Y,0,0)</f>
        <v>1.3332000000000002</v>
      </c>
      <c r="M39" s="879">
        <f>$H39*_xlfn.XLOOKUP($G39,'Baumaterialien Matériaux'!$A:$A,'Baumaterialien Matériaux'!AA:AA,0,0)</f>
        <v>74.580000000000013</v>
      </c>
      <c r="N39" s="879">
        <f>$H39*_xlfn.XLOOKUP($G39,'Baumaterialien Matériaux'!$A:$A,'Baumaterialien Matériaux'!AB:AB,0,0)</f>
        <v>20.394000000000002</v>
      </c>
      <c r="O39" s="879">
        <f>$H39*_xlfn.XLOOKUP($G39,'Baumaterialien Matériaux'!$A:$A,'Baumaterialien Matériaux'!AC:AC,0,0)*44/12</f>
        <v>0</v>
      </c>
      <c r="P39" s="879">
        <f>$H39*_xlfn.XLOOKUP($G39,'Baumaterialien Matériaux'!$A:$A,'Baumaterialien Matériaux'!AG:AG,0,0)</f>
        <v>0</v>
      </c>
      <c r="Q39" s="879">
        <f>$H39*_xlfn.XLOOKUP($G39,'Baumaterialien Matériaux'!$A:$A,'Baumaterialien Matériaux'!AH:AH,0,0)</f>
        <v>0</v>
      </c>
      <c r="U39" s="1785"/>
      <c r="V39" s="1785"/>
    </row>
    <row r="40" spans="1:22" s="540" customFormat="1">
      <c r="A40" s="947"/>
      <c r="B40" s="1926"/>
      <c r="C40" s="538" t="s">
        <v>592</v>
      </c>
      <c r="D40" s="538" t="str">
        <f>VLOOKUP(G40,'Baumaterialien Matériaux'!$A$10:$AD$432,30,FALSE)</f>
        <v>Masse bitumeuse, chaude</v>
      </c>
      <c r="E40" s="1785"/>
      <c r="F40" s="538" t="str">
        <f>VLOOKUP(G40,'Baumaterialien Matériaux'!$A$10:$AD$432,7,FALSE)</f>
        <v>kg</v>
      </c>
      <c r="G40" s="538" t="s">
        <v>593</v>
      </c>
      <c r="H40" s="955">
        <v>3</v>
      </c>
      <c r="I40" s="539"/>
      <c r="J40" s="538">
        <v>60</v>
      </c>
      <c r="K40" s="879">
        <f>$H40*_xlfn.XLOOKUP($G40,'Baumaterialien Matériaux'!$A:$A,'Baumaterialien Matériaux'!V:V,0,0)</f>
        <v>44.7</v>
      </c>
      <c r="L40" s="879">
        <f>$H40*_xlfn.XLOOKUP($G40,'Baumaterialien Matériaux'!$A:$A,'Baumaterialien Matériaux'!Y:Y,0,0)</f>
        <v>0.16739999999999999</v>
      </c>
      <c r="M40" s="879">
        <f>$H40*_xlfn.XLOOKUP($G40,'Baumaterialien Matériaux'!$A:$A,'Baumaterialien Matériaux'!AA:AA,0,0)</f>
        <v>2.718</v>
      </c>
      <c r="N40" s="879">
        <f>$H40*_xlfn.XLOOKUP($G40,'Baumaterialien Matériaux'!$A:$A,'Baumaterialien Matériaux'!AB:AB,0,0)</f>
        <v>0.56099999999999994</v>
      </c>
      <c r="O40" s="879">
        <f>$H40*_xlfn.XLOOKUP($G40,'Baumaterialien Matériaux'!$A:$A,'Baumaterialien Matériaux'!AC:AC,0,0)*44/12</f>
        <v>0</v>
      </c>
      <c r="P40" s="879">
        <f>$H40*_xlfn.XLOOKUP($G40,'Baumaterialien Matériaux'!$A:$A,'Baumaterialien Matériaux'!AG:AG,0,0)</f>
        <v>0</v>
      </c>
      <c r="Q40" s="879">
        <f>$H40*_xlfn.XLOOKUP($G40,'Baumaterialien Matériaux'!$A:$A,'Baumaterialien Matériaux'!AH:AH,0,0)</f>
        <v>0</v>
      </c>
      <c r="U40" s="1785"/>
      <c r="V40" s="1785"/>
    </row>
    <row r="41" spans="1:22" s="551" customFormat="1" ht="15.75" thickBot="1">
      <c r="A41" s="949"/>
      <c r="B41" s="950"/>
      <c r="H41" s="959"/>
      <c r="J41" s="553">
        <v>60</v>
      </c>
      <c r="K41" s="881">
        <f t="shared" ref="K41:L41" si="6">SUM(K34:K40)</f>
        <v>460.90081847133757</v>
      </c>
      <c r="L41" s="881">
        <f t="shared" si="6"/>
        <v>32.84697727707006</v>
      </c>
      <c r="M41" s="881">
        <f>SUM(M34:M40)</f>
        <v>154.67270445859873</v>
      </c>
      <c r="N41" s="881">
        <f>SUM(N34:N40)</f>
        <v>34.685899331210194</v>
      </c>
      <c r="O41" s="881">
        <f>SUM(O34:O40)</f>
        <v>7.4620333333333342</v>
      </c>
      <c r="P41" s="881">
        <f>SUM(P34:P40)</f>
        <v>0</v>
      </c>
      <c r="Q41" s="881">
        <f>SUM(Q34:Q40)</f>
        <v>0</v>
      </c>
      <c r="S41" s="702">
        <f>(M41+N41)/J41</f>
        <v>3.1559767298301487</v>
      </c>
      <c r="T41" s="551">
        <v>2.74</v>
      </c>
    </row>
    <row r="42" spans="1:22">
      <c r="K42" s="150"/>
      <c r="L42" s="150"/>
      <c r="M42" s="150"/>
      <c r="N42" s="150"/>
      <c r="O42" s="150"/>
      <c r="P42" s="150"/>
      <c r="Q42" s="150"/>
    </row>
    <row r="43" spans="1:22" ht="14.25" customHeight="1">
      <c r="A43" s="560" t="s">
        <v>582</v>
      </c>
      <c r="B43" s="1924" t="s">
        <v>587</v>
      </c>
      <c r="C43" s="538" t="str">
        <f>C36</f>
        <v>3-SP Schalung/Coffrage 2.5cm (Annahme/Hyp. 5xverwendet/utilisé) [kg]</v>
      </c>
      <c r="D43" s="538" t="str">
        <f>VLOOKUP(G43,'Baumaterialien Matériaux'!$A$10:$AD$432,30,FALSE)</f>
        <v>Béton pour bâtiment (sans armature)</v>
      </c>
      <c r="E43" s="1785"/>
      <c r="F43" s="538" t="str">
        <f>VLOOKUP(G43,'Baumaterialien Matériaux'!$A$10:$AD$432,7,FALSE)</f>
        <v>kg</v>
      </c>
      <c r="G43" s="538" t="s">
        <v>570</v>
      </c>
      <c r="H43" s="955">
        <f>(0.25-H44/7850)*2300</f>
        <v>567.85828025477701</v>
      </c>
      <c r="I43" s="539"/>
      <c r="J43" s="538">
        <v>60</v>
      </c>
      <c r="K43" s="879">
        <f>$H43*_xlfn.XLOOKUP($G43,'Baumaterialien Matériaux'!$A:$A,'Baumaterialien Matériaux'!V:V,0,0)</f>
        <v>69.846568471337577</v>
      </c>
      <c r="L43" s="879">
        <f>$H43*_xlfn.XLOOKUP($G43,'Baumaterialien Matériaux'!$A:$A,'Baumaterialien Matériaux'!Y:Y,0,0)</f>
        <v>29.131129777070061</v>
      </c>
      <c r="M43" s="879">
        <f>$H43*_xlfn.XLOOKUP($G43,'Baumaterialien Matériaux'!$A:$A,'Baumaterialien Matériaux'!AA:AA,0,0)</f>
        <v>50.369029458598725</v>
      </c>
      <c r="N43" s="879">
        <f>$H43*_xlfn.XLOOKUP($G43,'Baumaterialien Matériaux'!$A:$A,'Baumaterialien Matériaux'!AB:AB,0,0)</f>
        <v>7.1550143312101904</v>
      </c>
      <c r="O43" s="879">
        <f>$H43*_xlfn.XLOOKUP($G43,'Baumaterialien Matériaux'!$A:$A,'Baumaterialien Matériaux'!AC:AC,0,0)*44/12</f>
        <v>0</v>
      </c>
      <c r="P43" s="879">
        <f>$H43*_xlfn.XLOOKUP($G43,'Baumaterialien Matériaux'!$A:$A,'Baumaterialien Matériaux'!AG:AG,0,0)</f>
        <v>0</v>
      </c>
      <c r="Q43" s="879">
        <f>$H43*_xlfn.XLOOKUP($G43,'Baumaterialien Matériaux'!$A:$A,'Baumaterialien Matériaux'!AH:AH,0,0)</f>
        <v>0</v>
      </c>
      <c r="U43" s="1785"/>
      <c r="V43" s="1785"/>
    </row>
    <row r="44" spans="1:22">
      <c r="A44" s="540"/>
      <c r="B44" s="1926"/>
      <c r="C44" s="538" t="str">
        <f t="shared" ref="C44:C47" si="7">C37</f>
        <v>Bitumenanstrich / Emulsion de bitume [m2]</v>
      </c>
      <c r="D44" s="538" t="str">
        <f>VLOOKUP(G44,'Baumaterialien Matériaux'!$A$10:$AD$432,30,FALSE)</f>
        <v>Acier d'armature</v>
      </c>
      <c r="E44" s="1785"/>
      <c r="F44" s="538" t="str">
        <f>VLOOKUP(G44,'Baumaterialien Matériaux'!$A$10:$AD$432,7,FALSE)</f>
        <v>kg</v>
      </c>
      <c r="G44" s="538" t="s">
        <v>572</v>
      </c>
      <c r="H44" s="955">
        <f>97.5*0.25</f>
        <v>24.375</v>
      </c>
      <c r="I44" s="539"/>
      <c r="J44" s="538">
        <v>60</v>
      </c>
      <c r="K44" s="879">
        <f>$H44*_xlfn.XLOOKUP($G44,'Baumaterialien Matériaux'!$A:$A,'Baumaterialien Matériaux'!V:V,0,0)</f>
        <v>82.631250000000009</v>
      </c>
      <c r="L44" s="879">
        <f>$H44*_xlfn.XLOOKUP($G44,'Baumaterialien Matériaux'!$A:$A,'Baumaterialien Matériaux'!Y:Y,0,0)</f>
        <v>1.2309375</v>
      </c>
      <c r="M44" s="879">
        <f>$H44*_xlfn.XLOOKUP($G44,'Baumaterialien Matériaux'!$A:$A,'Baumaterialien Matériaux'!AA:AA,0,0)</f>
        <v>18.841875000000002</v>
      </c>
      <c r="N44" s="879">
        <f>$H44*_xlfn.XLOOKUP($G44,'Baumaterialien Matériaux'!$A:$A,'Baumaterialien Matériaux'!AB:AB,0,0)</f>
        <v>0.297375</v>
      </c>
      <c r="O44" s="879">
        <f>$H44*_xlfn.XLOOKUP($G44,'Baumaterialien Matériaux'!$A:$A,'Baumaterialien Matériaux'!AC:AC,0,0)*44/12</f>
        <v>0</v>
      </c>
      <c r="P44" s="879">
        <f>$H44*_xlfn.XLOOKUP($G44,'Baumaterialien Matériaux'!$A:$A,'Baumaterialien Matériaux'!AG:AG,0,0)</f>
        <v>0</v>
      </c>
      <c r="Q44" s="879">
        <f>$H44*_xlfn.XLOOKUP($G44,'Baumaterialien Matériaux'!$A:$A,'Baumaterialien Matériaux'!AH:AH,0,0)</f>
        <v>0</v>
      </c>
      <c r="U44" s="1785"/>
      <c r="V44" s="1785"/>
    </row>
    <row r="45" spans="1:22">
      <c r="A45" s="540"/>
      <c r="B45" s="1926"/>
      <c r="C45" s="538" t="str">
        <f t="shared" si="7"/>
        <v>Noppenfolie / Feuille PE [kg]</v>
      </c>
      <c r="D45" s="538" t="str">
        <f>VLOOKUP(G45,'Baumaterialien Matériaux'!$A$10:$AD$432,30,FALSE)</f>
        <v>Bois massif 3 et 5 plis</v>
      </c>
      <c r="E45" s="1785"/>
      <c r="F45" s="538" t="str">
        <f>VLOOKUP(G45,'Baumaterialien Matériaux'!$A$10:$AD$432,7,FALSE)</f>
        <v>kg</v>
      </c>
      <c r="G45" s="538" t="s">
        <v>590</v>
      </c>
      <c r="H45" s="955">
        <f>2/5*0.025*470</f>
        <v>4.7000000000000011</v>
      </c>
      <c r="I45" s="539"/>
      <c r="J45" s="538">
        <v>60</v>
      </c>
      <c r="K45" s="879">
        <f>$H45*_xlfn.XLOOKUP($G45,'Baumaterialien Matériaux'!$A:$A,'Baumaterialien Matériaux'!V:V,0,0)</f>
        <v>9.8230000000000022</v>
      </c>
      <c r="L45" s="879">
        <f>$H45*_xlfn.XLOOKUP($G45,'Baumaterialien Matériaux'!$A:$A,'Baumaterialien Matériaux'!Y:Y,0,0)</f>
        <v>0.43381000000000008</v>
      </c>
      <c r="M45" s="879">
        <f>$H45*_xlfn.XLOOKUP($G45,'Baumaterialien Matériaux'!$A:$A,'Baumaterialien Matériaux'!AA:AA,0,0)</f>
        <v>1.9458000000000004</v>
      </c>
      <c r="N45" s="879">
        <f>$H45*_xlfn.XLOOKUP($G45,'Baumaterialien Matériaux'!$A:$A,'Baumaterialien Matériaux'!AB:AB,0,0)</f>
        <v>0.25991000000000009</v>
      </c>
      <c r="O45" s="879">
        <f>$H45*_xlfn.XLOOKUP($G45,'Baumaterialien Matériaux'!$A:$A,'Baumaterialien Matériaux'!AC:AC,0,0)*44/12</f>
        <v>7.4620333333333342</v>
      </c>
      <c r="P45" s="879">
        <f>$H45*_xlfn.XLOOKUP($G45,'Baumaterialien Matériaux'!$A:$A,'Baumaterialien Matériaux'!AG:AG,0,0)</f>
        <v>0</v>
      </c>
      <c r="Q45" s="879">
        <f>$H45*_xlfn.XLOOKUP($G45,'Baumaterialien Matériaux'!$A:$A,'Baumaterialien Matériaux'!AH:AH,0,0)</f>
        <v>0</v>
      </c>
      <c r="U45" s="1785"/>
      <c r="V45" s="1785"/>
    </row>
    <row r="46" spans="1:22">
      <c r="A46" s="540"/>
      <c r="B46" s="1926"/>
      <c r="C46" s="538" t="str">
        <f t="shared" si="7"/>
        <v>XPS, 33 kg/m3, lamdaD 0.033 W/mK, 20 cm [kg]</v>
      </c>
      <c r="D46" s="538" t="str">
        <f>VLOOKUP(G46,'Baumaterialien Matériaux'!$A$10:$AD$432,30,FALSE)</f>
        <v>Émulsion de bitume, 1 couche</v>
      </c>
      <c r="E46" s="1785"/>
      <c r="F46" s="538" t="str">
        <f>VLOOKUP(G46,'Baumaterialien Matériaux'!$A$10:$AD$432,7,FALSE)</f>
        <v>m2</v>
      </c>
      <c r="G46" s="538" t="s">
        <v>576</v>
      </c>
      <c r="H46" s="955">
        <v>2</v>
      </c>
      <c r="I46" s="539"/>
      <c r="J46" s="538">
        <v>60</v>
      </c>
      <c r="K46" s="879">
        <f>$H46*_xlfn.XLOOKUP($G46,'Baumaterialien Matériaux'!$A:$A,'Baumaterialien Matériaux'!V:V,0,0)</f>
        <v>3.68</v>
      </c>
      <c r="L46" s="879">
        <f>$H46*_xlfn.XLOOKUP($G46,'Baumaterialien Matériaux'!$A:$A,'Baumaterialien Matériaux'!Y:Y,0,0)</f>
        <v>2.8000000000000001E-2</v>
      </c>
      <c r="M46" s="879">
        <f>$H46*_xlfn.XLOOKUP($G46,'Baumaterialien Matériaux'!$A:$A,'Baumaterialien Matériaux'!AA:AA,0,0)</f>
        <v>0.26800000000000002</v>
      </c>
      <c r="N46" s="879">
        <f>$H46*_xlfn.XLOOKUP($G46,'Baumaterialien Matériaux'!$A:$A,'Baumaterialien Matériaux'!AB:AB,0,0)</f>
        <v>9.3600000000000003E-2</v>
      </c>
      <c r="O46" s="879">
        <f>$H46*_xlfn.XLOOKUP($G46,'Baumaterialien Matériaux'!$A:$A,'Baumaterialien Matériaux'!AC:AC,0,0)*44/12</f>
        <v>0</v>
      </c>
      <c r="P46" s="879">
        <f>$H46*_xlfn.XLOOKUP($G46,'Baumaterialien Matériaux'!$A:$A,'Baumaterialien Matériaux'!AG:AG,0,0)</f>
        <v>0</v>
      </c>
      <c r="Q46" s="879">
        <f>$H46*_xlfn.XLOOKUP($G46,'Baumaterialien Matériaux'!$A:$A,'Baumaterialien Matériaux'!AH:AH,0,0)</f>
        <v>0</v>
      </c>
      <c r="U46" s="1785"/>
      <c r="V46" s="1785"/>
    </row>
    <row r="47" spans="1:22">
      <c r="A47" s="540"/>
      <c r="B47" s="1925"/>
      <c r="C47" s="538" t="str">
        <f t="shared" si="7"/>
        <v>Bitumenkleber / Colle bitumineuse [kg]</v>
      </c>
      <c r="D47" s="538" t="str">
        <f>VLOOKUP(G47,'Baumaterialien Matériaux'!$A$10:$AD$432,30,FALSE)</f>
        <v>Polyéthylène (HDPE)</v>
      </c>
      <c r="E47" s="1785"/>
      <c r="F47" s="538" t="str">
        <f>VLOOKUP(G47,'Baumaterialien Matériaux'!$A$10:$AD$432,7,FALSE)</f>
        <v>kg</v>
      </c>
      <c r="G47" s="538" t="s">
        <v>578</v>
      </c>
      <c r="H47" s="955">
        <v>2.5</v>
      </c>
      <c r="I47" s="539"/>
      <c r="J47" s="538">
        <v>60</v>
      </c>
      <c r="K47" s="879">
        <f>$H47*_xlfn.XLOOKUP($G47,'Baumaterialien Matériaux'!$A:$A,'Baumaterialien Matériaux'!V:V,0,0)</f>
        <v>57.5</v>
      </c>
      <c r="L47" s="879">
        <f>$H47*_xlfn.XLOOKUP($G47,'Baumaterialien Matériaux'!$A:$A,'Baumaterialien Matériaux'!Y:Y,0,0)</f>
        <v>0.52249999999999996</v>
      </c>
      <c r="M47" s="879">
        <f>$H47*_xlfn.XLOOKUP($G47,'Baumaterialien Matériaux'!$A:$A,'Baumaterialien Matériaux'!AA:AA,0,0)</f>
        <v>5.9499999999999993</v>
      </c>
      <c r="N47" s="879">
        <f>$H47*_xlfn.XLOOKUP($G47,'Baumaterialien Matériaux'!$A:$A,'Baumaterialien Matériaux'!AB:AB,0,0)</f>
        <v>5.9250000000000007</v>
      </c>
      <c r="O47" s="879">
        <f>$H47*_xlfn.XLOOKUP($G47,'Baumaterialien Matériaux'!$A:$A,'Baumaterialien Matériaux'!AC:AC,0,0)*44/12</f>
        <v>0</v>
      </c>
      <c r="P47" s="879">
        <f>$H47*_xlfn.XLOOKUP($G47,'Baumaterialien Matériaux'!$A:$A,'Baumaterialien Matériaux'!AG:AG,0,0)</f>
        <v>0</v>
      </c>
      <c r="Q47" s="879">
        <f>$H47*_xlfn.XLOOKUP($G47,'Baumaterialien Matériaux'!$A:$A,'Baumaterialien Matériaux'!AH:AH,0,0)</f>
        <v>0</v>
      </c>
      <c r="U47" s="1785"/>
      <c r="V47" s="1785"/>
    </row>
    <row r="48" spans="1:22" ht="14.25" customHeight="1">
      <c r="A48" s="540"/>
      <c r="B48" s="1924" t="s">
        <v>594</v>
      </c>
      <c r="C48" s="560" t="s">
        <v>584</v>
      </c>
      <c r="D48" s="560" t="str">
        <f>VLOOKUP(G48,'Baumaterialien Matériaux'!$A$10:$AD$432,30,FALSE)</f>
        <v>Verre cellulaire</v>
      </c>
      <c r="E48" s="1786"/>
      <c r="F48" s="560" t="str">
        <f>VLOOKUP(G48,'Baumaterialien Matériaux'!$A$10:$AD$432,7,FALSE)</f>
        <v>kg</v>
      </c>
      <c r="G48" s="560" t="s">
        <v>585</v>
      </c>
      <c r="H48" s="960">
        <f>0.25*115</f>
        <v>28.75</v>
      </c>
      <c r="I48" s="560"/>
      <c r="J48" s="560">
        <v>60</v>
      </c>
      <c r="K48" s="944">
        <f>$H48*_xlfn.XLOOKUP($G48,'Baumaterialien Matériaux'!$A:$A,'Baumaterialien Matériaux'!V:V,0,0)</f>
        <v>146.91250000000002</v>
      </c>
      <c r="L48" s="944">
        <f>$H48*_xlfn.XLOOKUP($G48,'Baumaterialien Matériaux'!$A:$A,'Baumaterialien Matériaux'!Y:Y,0,0)</f>
        <v>1.5122500000000001</v>
      </c>
      <c r="M48" s="944">
        <f>$H48*_xlfn.XLOOKUP($G48,'Baumaterialien Matériaux'!$A:$A,'Baumaterialien Matériaux'!AA:AA,0,0)</f>
        <v>33.637499999999996</v>
      </c>
      <c r="N48" s="944">
        <f>$H48*_xlfn.XLOOKUP($G48,'Baumaterialien Matériaux'!$A:$A,'Baumaterialien Matériaux'!AB:AB,0,0)</f>
        <v>0.36512499999999998</v>
      </c>
      <c r="O48" s="944">
        <f>$H48*_xlfn.XLOOKUP($G48,'Baumaterialien Matériaux'!$A:$A,'Baumaterialien Matériaux'!AC:AC,0,0)*44/12</f>
        <v>0</v>
      </c>
      <c r="P48" s="944">
        <f>$H48*_xlfn.XLOOKUP($G48,'Baumaterialien Matériaux'!$A:$A,'Baumaterialien Matériaux'!AG:AG,0,0)</f>
        <v>0</v>
      </c>
      <c r="Q48" s="944">
        <f>$H48*_xlfn.XLOOKUP($G48,'Baumaterialien Matériaux'!$A:$A,'Baumaterialien Matériaux'!AH:AH,0,0)</f>
        <v>0</v>
      </c>
      <c r="U48" s="1786"/>
      <c r="V48" s="1786"/>
    </row>
    <row r="49" spans="1:22" s="166" customFormat="1">
      <c r="A49" s="948"/>
      <c r="B49" s="1925"/>
      <c r="C49" s="538" t="s">
        <v>592</v>
      </c>
      <c r="D49" s="538" t="str">
        <f>VLOOKUP(G49,'Baumaterialien Matériaux'!$A$10:$AD$432,30,FALSE)</f>
        <v>Masse bitumeuse, chaude</v>
      </c>
      <c r="E49" s="1785"/>
      <c r="F49" s="538" t="str">
        <f>VLOOKUP(G49,'Baumaterialien Matériaux'!$A$10:$AD$432,7,FALSE)</f>
        <v>kg</v>
      </c>
      <c r="G49" s="538" t="s">
        <v>593</v>
      </c>
      <c r="H49" s="955">
        <v>3</v>
      </c>
      <c r="I49" s="539"/>
      <c r="J49" s="538">
        <v>60</v>
      </c>
      <c r="K49" s="879">
        <f>$H49*_xlfn.XLOOKUP($G49,'Baumaterialien Matériaux'!$A:$A,'Baumaterialien Matériaux'!V:V,0,0)</f>
        <v>44.7</v>
      </c>
      <c r="L49" s="879">
        <f>$H49*_xlfn.XLOOKUP($G49,'Baumaterialien Matériaux'!$A:$A,'Baumaterialien Matériaux'!Y:Y,0,0)</f>
        <v>0.16739999999999999</v>
      </c>
      <c r="M49" s="879">
        <f>$H49*_xlfn.XLOOKUP($G49,'Baumaterialien Matériaux'!$A:$A,'Baumaterialien Matériaux'!AA:AA,0,0)</f>
        <v>2.718</v>
      </c>
      <c r="N49" s="879">
        <f>$H49*_xlfn.XLOOKUP($G49,'Baumaterialien Matériaux'!$A:$A,'Baumaterialien Matériaux'!AB:AB,0,0)</f>
        <v>0.56099999999999994</v>
      </c>
      <c r="O49" s="879">
        <f>$H49*_xlfn.XLOOKUP($G49,'Baumaterialien Matériaux'!$A:$A,'Baumaterialien Matériaux'!AC:AC,0,0)*44/12</f>
        <v>0</v>
      </c>
      <c r="P49" s="879">
        <f>$H49*_xlfn.XLOOKUP($G49,'Baumaterialien Matériaux'!$A:$A,'Baumaterialien Matériaux'!AG:AG,0,0)</f>
        <v>0</v>
      </c>
      <c r="Q49" s="879">
        <f>$H49*_xlfn.XLOOKUP($G49,'Baumaterialien Matériaux'!$A:$A,'Baumaterialien Matériaux'!AH:AH,0,0)</f>
        <v>0</v>
      </c>
      <c r="U49" s="1785"/>
      <c r="V49" s="1785"/>
    </row>
    <row r="50" spans="1:22" s="551" customFormat="1" ht="12.75" customHeight="1" thickBot="1">
      <c r="B50" s="942"/>
      <c r="H50" s="957"/>
      <c r="I50" s="943"/>
      <c r="J50" s="945">
        <v>60</v>
      </c>
      <c r="K50" s="946">
        <f t="shared" ref="K50:L50" si="8">SUM(K43:K49)</f>
        <v>415.09331847133757</v>
      </c>
      <c r="L50" s="946">
        <f t="shared" si="8"/>
        <v>33.026027277070064</v>
      </c>
      <c r="M50" s="946">
        <f>SUM(M43:M49)</f>
        <v>113.73020445859872</v>
      </c>
      <c r="N50" s="946">
        <f>SUM(N43:N49)</f>
        <v>14.657024331210192</v>
      </c>
      <c r="O50" s="946">
        <f>SUM(O43:O49)</f>
        <v>7.4620333333333342</v>
      </c>
      <c r="P50" s="946">
        <f>SUM(P43:P49)</f>
        <v>0</v>
      </c>
      <c r="Q50" s="946">
        <f>SUM(Q43:Q49)</f>
        <v>0</v>
      </c>
      <c r="S50" s="702">
        <f>(M50+N50)/J50</f>
        <v>2.1397871464968152</v>
      </c>
      <c r="T50" s="551">
        <v>2.74</v>
      </c>
    </row>
    <row r="51" spans="1:22">
      <c r="K51" s="150"/>
      <c r="L51" s="150"/>
      <c r="M51" s="150"/>
      <c r="N51" s="150"/>
      <c r="O51" s="150"/>
      <c r="P51" s="150"/>
      <c r="Q51" s="150"/>
    </row>
    <row r="52" spans="1:22" s="645" customFormat="1" ht="17.25">
      <c r="A52" s="643" t="s">
        <v>228</v>
      </c>
      <c r="B52" s="643" t="str">
        <f>'Outil détaillé'!D15</f>
        <v>Toitures souterraines</v>
      </c>
      <c r="C52" s="643"/>
      <c r="D52" s="643"/>
      <c r="E52" s="643"/>
      <c r="F52" s="643"/>
      <c r="G52" s="643"/>
      <c r="H52" s="958" t="s">
        <v>586</v>
      </c>
      <c r="I52" s="644"/>
      <c r="K52" s="884"/>
      <c r="L52" s="884"/>
      <c r="M52" s="884"/>
      <c r="N52" s="884"/>
      <c r="O52" s="884"/>
      <c r="P52" s="884"/>
      <c r="Q52" s="884"/>
      <c r="U52" s="643"/>
      <c r="V52" s="643"/>
    </row>
    <row r="53" spans="1:22" s="540" customFormat="1">
      <c r="A53" s="560" t="s">
        <v>110</v>
      </c>
      <c r="B53" s="1924" t="s">
        <v>595</v>
      </c>
      <c r="C53" s="538" t="s">
        <v>569</v>
      </c>
      <c r="D53" s="538" t="str">
        <f>VLOOKUP(G53,'Baumaterialien Matériaux'!$A$10:$AD$432,30,FALSE)</f>
        <v>Béton pour bâtiment (sans armature)</v>
      </c>
      <c r="E53" s="1785"/>
      <c r="F53" s="538" t="str">
        <f>VLOOKUP(G53,'Baumaterialien Matériaux'!$A$10:$AD$432,7,FALSE)</f>
        <v>kg</v>
      </c>
      <c r="G53" s="561" t="s">
        <v>570</v>
      </c>
      <c r="H53" s="955">
        <f>(0.3-H54/7850)*2300</f>
        <v>680.11146496815275</v>
      </c>
      <c r="I53" s="539"/>
      <c r="J53" s="548">
        <v>60</v>
      </c>
      <c r="K53" s="885">
        <f>$H53*_xlfn.XLOOKUP($G53,'Baumaterialien Matériaux'!$A:$A,'Baumaterialien Matériaux'!V:V,0,0)</f>
        <v>83.65371019108278</v>
      </c>
      <c r="L53" s="885">
        <f>$H53*_xlfn.XLOOKUP($G53,'Baumaterialien Matériaux'!$A:$A,'Baumaterialien Matériaux'!Y:Y,0,0)</f>
        <v>34.889718152866237</v>
      </c>
      <c r="M53" s="885">
        <f>$H53*_xlfn.XLOOKUP($G53,'Baumaterialien Matériaux'!$A:$A,'Baumaterialien Matériaux'!AA:AA,0,0)</f>
        <v>60.325886942675147</v>
      </c>
      <c r="N53" s="885">
        <f>$H53*_xlfn.XLOOKUP($G53,'Baumaterialien Matériaux'!$A:$A,'Baumaterialien Matériaux'!AB:AB,0,0)</f>
        <v>8.5694044585987239</v>
      </c>
      <c r="O53" s="885">
        <f>$H53*_xlfn.XLOOKUP($G53,'Baumaterialien Matériaux'!$A:$A,'Baumaterialien Matériaux'!AC:AC,0,0)*44/12</f>
        <v>0</v>
      </c>
      <c r="P53" s="885">
        <f>$H53*_xlfn.XLOOKUP($G53,'Baumaterialien Matériaux'!$A:$A,'Baumaterialien Matériaux'!AG:AG,0,0)</f>
        <v>0</v>
      </c>
      <c r="Q53" s="885">
        <f>$H53*_xlfn.XLOOKUP($G53,'Baumaterialien Matériaux'!$A:$A,'Baumaterialien Matériaux'!AH:AH,0,0)</f>
        <v>0</v>
      </c>
      <c r="U53" s="1785"/>
      <c r="V53" s="1785"/>
    </row>
    <row r="54" spans="1:22" s="540" customFormat="1">
      <c r="A54" s="796"/>
      <c r="B54" s="1922"/>
      <c r="C54" s="538" t="s">
        <v>571</v>
      </c>
      <c r="D54" s="538" t="str">
        <f>VLOOKUP(G54,'Baumaterialien Matériaux'!$A$10:$AD$432,30,FALSE)</f>
        <v>Acier d'armature</v>
      </c>
      <c r="E54" s="1785"/>
      <c r="F54" s="538" t="str">
        <f>VLOOKUP(G54,'Baumaterialien Matériaux'!$A$10:$AD$432,7,FALSE)</f>
        <v>kg</v>
      </c>
      <c r="G54" s="538" t="s">
        <v>572</v>
      </c>
      <c r="H54" s="955">
        <f>112.5*0.3</f>
        <v>33.75</v>
      </c>
      <c r="I54" s="539"/>
      <c r="J54" s="548">
        <v>60</v>
      </c>
      <c r="K54" s="885">
        <f>$H54*_xlfn.XLOOKUP($G54,'Baumaterialien Matériaux'!$A:$A,'Baumaterialien Matériaux'!V:V,0,0)</f>
        <v>114.41250000000001</v>
      </c>
      <c r="L54" s="885">
        <f>$H54*_xlfn.XLOOKUP($G54,'Baumaterialien Matériaux'!$A:$A,'Baumaterialien Matériaux'!Y:Y,0,0)</f>
        <v>1.7043750000000002</v>
      </c>
      <c r="M54" s="885">
        <f>$H54*_xlfn.XLOOKUP($G54,'Baumaterialien Matériaux'!$A:$A,'Baumaterialien Matériaux'!AA:AA,0,0)</f>
        <v>26.088750000000001</v>
      </c>
      <c r="N54" s="885">
        <f>$H54*_xlfn.XLOOKUP($G54,'Baumaterialien Matériaux'!$A:$A,'Baumaterialien Matériaux'!AB:AB,0,0)</f>
        <v>0.41175</v>
      </c>
      <c r="O54" s="885">
        <f>$H54*_xlfn.XLOOKUP($G54,'Baumaterialien Matériaux'!$A:$A,'Baumaterialien Matériaux'!AC:AC,0,0)*44/12</f>
        <v>0</v>
      </c>
      <c r="P54" s="885">
        <f>$H54*_xlfn.XLOOKUP($G54,'Baumaterialien Matériaux'!$A:$A,'Baumaterialien Matériaux'!AG:AG,0,0)</f>
        <v>0</v>
      </c>
      <c r="Q54" s="885">
        <f>$H54*_xlfn.XLOOKUP($G54,'Baumaterialien Matériaux'!$A:$A,'Baumaterialien Matériaux'!AH:AH,0,0)</f>
        <v>0</v>
      </c>
      <c r="U54" s="1785"/>
      <c r="V54" s="1785"/>
    </row>
    <row r="55" spans="1:22" s="540" customFormat="1">
      <c r="A55" s="796"/>
      <c r="B55" s="1922"/>
      <c r="C55" s="538" t="s">
        <v>589</v>
      </c>
      <c r="D55" s="538" t="str">
        <f>VLOOKUP(G55,'Baumaterialien Matériaux'!$A$10:$AD$432,30,FALSE)</f>
        <v>Bois massif 3 et 5 plis</v>
      </c>
      <c r="E55" s="1785"/>
      <c r="F55" s="538" t="str">
        <f>VLOOKUP(G55,'Baumaterialien Matériaux'!$A$10:$AD$432,7,FALSE)</f>
        <v>kg</v>
      </c>
      <c r="G55" s="538" t="s">
        <v>590</v>
      </c>
      <c r="H55" s="955">
        <f>2/5*0.025*470</f>
        <v>4.7000000000000011</v>
      </c>
      <c r="I55" s="539"/>
      <c r="J55" s="548">
        <v>60</v>
      </c>
      <c r="K55" s="885">
        <f>$H55*_xlfn.XLOOKUP($G55,'Baumaterialien Matériaux'!$A:$A,'Baumaterialien Matériaux'!V:V,0,0)</f>
        <v>9.8230000000000022</v>
      </c>
      <c r="L55" s="885">
        <f>$H55*_xlfn.XLOOKUP($G55,'Baumaterialien Matériaux'!$A:$A,'Baumaterialien Matériaux'!Y:Y,0,0)</f>
        <v>0.43381000000000008</v>
      </c>
      <c r="M55" s="885">
        <f>$H55*_xlfn.XLOOKUP($G55,'Baumaterialien Matériaux'!$A:$A,'Baumaterialien Matériaux'!AA:AA,0,0)</f>
        <v>1.9458000000000004</v>
      </c>
      <c r="N55" s="885">
        <f>$H55*_xlfn.XLOOKUP($G55,'Baumaterialien Matériaux'!$A:$A,'Baumaterialien Matériaux'!AB:AB,0,0)</f>
        <v>0.25991000000000009</v>
      </c>
      <c r="O55" s="885">
        <f>$H55*_xlfn.XLOOKUP($G55,'Baumaterialien Matériaux'!$A:$A,'Baumaterialien Matériaux'!AC:AC,0,0)*44/12</f>
        <v>7.4620333333333342</v>
      </c>
      <c r="P55" s="885">
        <f>$H55*_xlfn.XLOOKUP($G55,'Baumaterialien Matériaux'!$A:$A,'Baumaterialien Matériaux'!AG:AG,0,0)</f>
        <v>0</v>
      </c>
      <c r="Q55" s="885">
        <f>$H55*_xlfn.XLOOKUP($G55,'Baumaterialien Matériaux'!$A:$A,'Baumaterialien Matériaux'!AH:AH,0,0)</f>
        <v>0</v>
      </c>
      <c r="U55" s="1785"/>
      <c r="V55" s="1785"/>
    </row>
    <row r="56" spans="1:22" s="540" customFormat="1">
      <c r="A56" s="796"/>
      <c r="B56" s="1922"/>
      <c r="C56" s="538" t="s">
        <v>596</v>
      </c>
      <c r="D56" s="538" t="str">
        <f>VLOOKUP(G56,'Baumaterialien Matériaux'!$A$10:$AD$432,30,FALSE)</f>
        <v>Émulsion de bitume, 1 couche</v>
      </c>
      <c r="E56" s="1785"/>
      <c r="F56" s="538" t="str">
        <f>VLOOKUP(G56,'Baumaterialien Matériaux'!$A$10:$AD$432,7,FALSE)</f>
        <v>m2</v>
      </c>
      <c r="G56" s="564" t="s">
        <v>576</v>
      </c>
      <c r="H56" s="955">
        <v>1</v>
      </c>
      <c r="I56" s="539"/>
      <c r="J56" s="548">
        <v>60</v>
      </c>
      <c r="K56" s="885">
        <f>$H56*_xlfn.XLOOKUP($G56,'Baumaterialien Matériaux'!$A:$A,'Baumaterialien Matériaux'!V:V,0,0)</f>
        <v>1.84</v>
      </c>
      <c r="L56" s="885">
        <f>$H56*_xlfn.XLOOKUP($G56,'Baumaterialien Matériaux'!$A:$A,'Baumaterialien Matériaux'!Y:Y,0,0)</f>
        <v>1.4E-2</v>
      </c>
      <c r="M56" s="885">
        <f>$H56*_xlfn.XLOOKUP($G56,'Baumaterialien Matériaux'!$A:$A,'Baumaterialien Matériaux'!AA:AA,0,0)</f>
        <v>0.13400000000000001</v>
      </c>
      <c r="N56" s="885">
        <f>$H56*_xlfn.XLOOKUP($G56,'Baumaterialien Matériaux'!$A:$A,'Baumaterialien Matériaux'!AB:AB,0,0)</f>
        <v>4.6800000000000001E-2</v>
      </c>
      <c r="O56" s="885">
        <f>$H56*_xlfn.XLOOKUP($G56,'Baumaterialien Matériaux'!$A:$A,'Baumaterialien Matériaux'!AC:AC,0,0)*44/12</f>
        <v>0</v>
      </c>
      <c r="P56" s="885">
        <f>$H56*_xlfn.XLOOKUP($G56,'Baumaterialien Matériaux'!$A:$A,'Baumaterialien Matériaux'!AG:AG,0,0)</f>
        <v>0</v>
      </c>
      <c r="Q56" s="885">
        <f>$H56*_xlfn.XLOOKUP($G56,'Baumaterialien Matériaux'!$A:$A,'Baumaterialien Matériaux'!AH:AH,0,0)</f>
        <v>0</v>
      </c>
      <c r="U56" s="1785"/>
      <c r="V56" s="1785"/>
    </row>
    <row r="57" spans="1:22" s="540" customFormat="1">
      <c r="A57" s="796"/>
      <c r="B57" s="1922"/>
      <c r="C57" s="538" t="s">
        <v>597</v>
      </c>
      <c r="D57" s="538" t="str">
        <f>VLOOKUP(G57,'Baumaterialien Matériaux'!$A$10:$AD$432,30,FALSE)</f>
        <v>Lé d'étanchéité bitumineux, swissporBIKUTOP</v>
      </c>
      <c r="E57" s="1785"/>
      <c r="F57" s="538" t="str">
        <f>VLOOKUP(G57,'Baumaterialien Matériaux'!$A$10:$AD$432,7,FALSE)</f>
        <v>kg</v>
      </c>
      <c r="G57" s="538" t="s">
        <v>598</v>
      </c>
      <c r="H57" s="955">
        <v>5.9</v>
      </c>
      <c r="I57" s="539"/>
      <c r="J57" s="548">
        <v>60</v>
      </c>
      <c r="K57" s="885">
        <f>$H57*_xlfn.XLOOKUP($G57,'Baumaterialien Matériaux'!$A:$A,'Baumaterialien Matériaux'!V:V,0,0)</f>
        <v>59</v>
      </c>
      <c r="L57" s="885">
        <f>$H57*_xlfn.XLOOKUP($G57,'Baumaterialien Matériaux'!$A:$A,'Baumaterialien Matériaux'!Y:Y,0,0)</f>
        <v>1.5694000000000001</v>
      </c>
      <c r="M57" s="885">
        <f>$H57*_xlfn.XLOOKUP($G57,'Baumaterialien Matériaux'!$A:$A,'Baumaterialien Matériaux'!AA:AA,0,0)</f>
        <v>5.3513000000000002</v>
      </c>
      <c r="N57" s="885">
        <f>$H57*_xlfn.XLOOKUP($G57,'Baumaterialien Matériaux'!$A:$A,'Baumaterialien Matériaux'!AB:AB,0,0)</f>
        <v>13.747000000000002</v>
      </c>
      <c r="O57" s="885">
        <f>$H57*_xlfn.XLOOKUP($G57,'Baumaterialien Matériaux'!$A:$A,'Baumaterialien Matériaux'!AC:AC,0,0)*44/12</f>
        <v>0</v>
      </c>
      <c r="P57" s="885">
        <f>$H57*_xlfn.XLOOKUP($G57,'Baumaterialien Matériaux'!$A:$A,'Baumaterialien Matériaux'!AG:AG,0,0)</f>
        <v>0</v>
      </c>
      <c r="Q57" s="885">
        <f>$H57*_xlfn.XLOOKUP($G57,'Baumaterialien Matériaux'!$A:$A,'Baumaterialien Matériaux'!AH:AH,0,0)</f>
        <v>0</v>
      </c>
      <c r="U57" s="1785"/>
      <c r="V57" s="1785"/>
    </row>
    <row r="58" spans="1:22" s="540" customFormat="1">
      <c r="A58" s="796"/>
      <c r="B58" s="1922"/>
      <c r="C58" s="538" t="s">
        <v>599</v>
      </c>
      <c r="D58" s="538" t="str">
        <f>VLOOKUP(G58,'Baumaterialien Matériaux'!$A$10:$AD$432,30,FALSE)</f>
        <v>Voile de polyéthylène (PE)</v>
      </c>
      <c r="E58" s="1785"/>
      <c r="F58" s="538" t="str">
        <f>VLOOKUP(G58,'Baumaterialien Matériaux'!$A$10:$AD$432,7,FALSE)</f>
        <v>kg</v>
      </c>
      <c r="G58" s="538" t="s">
        <v>600</v>
      </c>
      <c r="H58" s="955">
        <v>0.4</v>
      </c>
      <c r="I58" s="539"/>
      <c r="J58" s="548">
        <v>60</v>
      </c>
      <c r="K58" s="885">
        <f>$H58*_xlfn.XLOOKUP($G58,'Baumaterialien Matériaux'!$A:$A,'Baumaterialien Matériaux'!V:V,0,0)</f>
        <v>10.280000000000001</v>
      </c>
      <c r="L58" s="885">
        <f>$H58*_xlfn.XLOOKUP($G58,'Baumaterialien Matériaux'!$A:$A,'Baumaterialien Matériaux'!Y:Y,0,0)</f>
        <v>8.3600000000000008E-2</v>
      </c>
      <c r="M58" s="885">
        <f>$H58*_xlfn.XLOOKUP($G58,'Baumaterialien Matériaux'!$A:$A,'Baumaterialien Matériaux'!AA:AA,0,0)</f>
        <v>1.1839999999999999</v>
      </c>
      <c r="N58" s="885">
        <f>$H58*_xlfn.XLOOKUP($G58,'Baumaterialien Matériaux'!$A:$A,'Baumaterialien Matériaux'!AB:AB,0,0)</f>
        <v>1.0680000000000001</v>
      </c>
      <c r="O58" s="885">
        <f>$H58*_xlfn.XLOOKUP($G58,'Baumaterialien Matériaux'!$A:$A,'Baumaterialien Matériaux'!AC:AC,0,0)*44/12</f>
        <v>0</v>
      </c>
      <c r="P58" s="885">
        <f>$H58*_xlfn.XLOOKUP($G58,'Baumaterialien Matériaux'!$A:$A,'Baumaterialien Matériaux'!AG:AG,0,0)</f>
        <v>0</v>
      </c>
      <c r="Q58" s="885">
        <f>$H58*_xlfn.XLOOKUP($G58,'Baumaterialien Matériaux'!$A:$A,'Baumaterialien Matériaux'!AH:AH,0,0)</f>
        <v>0</v>
      </c>
      <c r="U58" s="1785"/>
      <c r="V58" s="1785"/>
    </row>
    <row r="59" spans="1:22" s="540" customFormat="1">
      <c r="A59" s="947"/>
      <c r="B59" s="1925"/>
      <c r="C59" s="538" t="s">
        <v>601</v>
      </c>
      <c r="D59" s="538" t="str">
        <f>VLOOKUP(G59,'Baumaterialien Matériaux'!$A$10:$AD$432,30,FALSE)</f>
        <v>Gravier rond 1</v>
      </c>
      <c r="E59" s="1785"/>
      <c r="F59" s="538" t="str">
        <f>VLOOKUP(G59,'Baumaterialien Matériaux'!$A$10:$AD$432,7,FALSE)</f>
        <v>kg</v>
      </c>
      <c r="G59" s="565" t="s">
        <v>602</v>
      </c>
      <c r="H59" s="955">
        <f>0.03*2000</f>
        <v>60</v>
      </c>
      <c r="I59" s="539"/>
      <c r="J59" s="548">
        <v>60</v>
      </c>
      <c r="K59" s="885">
        <f>$H59*_xlfn.XLOOKUP($G59,'Baumaterialien Matériaux'!$A:$A,'Baumaterialien Matériaux'!V:V,0,0)</f>
        <v>0.93599999999999994</v>
      </c>
      <c r="L59" s="885">
        <f>$H59*_xlfn.XLOOKUP($G59,'Baumaterialien Matériaux'!$A:$A,'Baumaterialien Matériaux'!Y:Y,0,0)</f>
        <v>3.1560000000000001</v>
      </c>
      <c r="M59" s="885">
        <f>$H59*_xlfn.XLOOKUP($G59,'Baumaterialien Matériaux'!$A:$A,'Baumaterialien Matériaux'!AA:AA,0,0)</f>
        <v>0.18300000000000002</v>
      </c>
      <c r="N59" s="885">
        <f>$H59*_xlfn.XLOOKUP($G59,'Baumaterialien Matériaux'!$A:$A,'Baumaterialien Matériaux'!AB:AB,0,0)</f>
        <v>0.75600000000000001</v>
      </c>
      <c r="O59" s="885">
        <f>$H59*_xlfn.XLOOKUP($G59,'Baumaterialien Matériaux'!$A:$A,'Baumaterialien Matériaux'!AC:AC,0,0)*44/12</f>
        <v>0</v>
      </c>
      <c r="P59" s="885">
        <f>$H59*_xlfn.XLOOKUP($G59,'Baumaterialien Matériaux'!$A:$A,'Baumaterialien Matériaux'!AG:AG,0,0)</f>
        <v>0</v>
      </c>
      <c r="Q59" s="885">
        <f>$H59*_xlfn.XLOOKUP($G59,'Baumaterialien Matériaux'!$A:$A,'Baumaterialien Matériaux'!AH:AH,0,0)</f>
        <v>0</v>
      </c>
      <c r="U59" s="1785"/>
      <c r="V59" s="1785"/>
    </row>
    <row r="60" spans="1:22" s="551" customFormat="1" ht="12.75" customHeight="1" thickBot="1">
      <c r="B60" s="942"/>
      <c r="H60" s="957"/>
      <c r="I60" s="943"/>
      <c r="J60" s="945">
        <v>60</v>
      </c>
      <c r="K60" s="946">
        <f t="shared" ref="K60:L60" si="9">SUM(K53:K59)</f>
        <v>279.94521019108282</v>
      </c>
      <c r="L60" s="946">
        <f t="shared" si="9"/>
        <v>41.850903152866238</v>
      </c>
      <c r="M60" s="946">
        <f>SUM(M53:M59)</f>
        <v>95.21273694267515</v>
      </c>
      <c r="N60" s="946">
        <f>SUM(N53:N59)</f>
        <v>24.858864458598728</v>
      </c>
      <c r="O60" s="946">
        <f>SUM(O53:O59)</f>
        <v>7.4620333333333342</v>
      </c>
      <c r="P60" s="946">
        <f>SUM(P53:P59)</f>
        <v>0</v>
      </c>
      <c r="Q60" s="946">
        <f>SUM(Q53:Q59)</f>
        <v>0</v>
      </c>
      <c r="S60" s="702">
        <f>(M60+N60)/J60</f>
        <v>2.0011933566878981</v>
      </c>
      <c r="T60" s="551">
        <v>1.91</v>
      </c>
    </row>
    <row r="61" spans="1:22">
      <c r="K61" s="150"/>
      <c r="L61" s="150"/>
      <c r="M61" s="150"/>
      <c r="N61" s="150"/>
      <c r="O61" s="150"/>
      <c r="P61" s="150"/>
      <c r="Q61" s="150"/>
    </row>
    <row r="62" spans="1:22" s="540" customFormat="1">
      <c r="A62" s="560" t="s">
        <v>573</v>
      </c>
      <c r="B62" s="1921" t="s">
        <v>603</v>
      </c>
      <c r="C62" s="538" t="s">
        <v>569</v>
      </c>
      <c r="D62" s="538" t="str">
        <f>VLOOKUP(G62,'Baumaterialien Matériaux'!$A$10:$AD$432,30,FALSE)</f>
        <v>Béton pour bâtiment (sans armature)</v>
      </c>
      <c r="E62" s="1785"/>
      <c r="F62" s="538" t="str">
        <f>VLOOKUP(G62,'Baumaterialien Matériaux'!$A$10:$AD$432,7,FALSE)</f>
        <v>kg</v>
      </c>
      <c r="G62" s="561" t="s">
        <v>570</v>
      </c>
      <c r="H62" s="955">
        <f>(0.3-H63/7850)*2300</f>
        <v>680.11146496815275</v>
      </c>
      <c r="I62" s="539"/>
      <c r="J62" s="538">
        <v>60</v>
      </c>
      <c r="K62" s="879">
        <f>$H62*_xlfn.XLOOKUP($G62,'Baumaterialien Matériaux'!$A:$A,'Baumaterialien Matériaux'!V:V,0,0)</f>
        <v>83.65371019108278</v>
      </c>
      <c r="L62" s="879">
        <f>$H62*_xlfn.XLOOKUP($G62,'Baumaterialien Matériaux'!$A:$A,'Baumaterialien Matériaux'!Y:Y,0,0)</f>
        <v>34.889718152866237</v>
      </c>
      <c r="M62" s="879">
        <f>$H62*_xlfn.XLOOKUP($G62,'Baumaterialien Matériaux'!$A:$A,'Baumaterialien Matériaux'!AA:AA,0,0)</f>
        <v>60.325886942675147</v>
      </c>
      <c r="N62" s="879">
        <f>$H62*_xlfn.XLOOKUP($G62,'Baumaterialien Matériaux'!$A:$A,'Baumaterialien Matériaux'!AB:AB,0,0)</f>
        <v>8.5694044585987239</v>
      </c>
      <c r="O62" s="879">
        <f>$H62*_xlfn.XLOOKUP($G62,'Baumaterialien Matériaux'!$A:$A,'Baumaterialien Matériaux'!AC:AC,0,0)*44/12</f>
        <v>0</v>
      </c>
      <c r="P62" s="879">
        <f>$H62*_xlfn.XLOOKUP($G62,'Baumaterialien Matériaux'!$A:$A,'Baumaterialien Matériaux'!AG:AG,0,0)</f>
        <v>0</v>
      </c>
      <c r="Q62" s="879">
        <f>$H62*_xlfn.XLOOKUP($G62,'Baumaterialien Matériaux'!$A:$A,'Baumaterialien Matériaux'!AH:AH,0,0)</f>
        <v>0</v>
      </c>
      <c r="U62" s="1785"/>
      <c r="V62" s="1785"/>
    </row>
    <row r="63" spans="1:22" s="540" customFormat="1">
      <c r="A63" s="796"/>
      <c r="B63" s="1922"/>
      <c r="C63" s="538" t="s">
        <v>571</v>
      </c>
      <c r="D63" s="538" t="str">
        <f>VLOOKUP(G63,'Baumaterialien Matériaux'!$A$10:$AD$432,30,FALSE)</f>
        <v>Acier d'armature</v>
      </c>
      <c r="E63" s="1785"/>
      <c r="F63" s="538" t="str">
        <f>VLOOKUP(G63,'Baumaterialien Matériaux'!$A$10:$AD$432,7,FALSE)</f>
        <v>kg</v>
      </c>
      <c r="G63" s="538" t="s">
        <v>572</v>
      </c>
      <c r="H63" s="955">
        <f>112.5*0.3</f>
        <v>33.75</v>
      </c>
      <c r="I63" s="539"/>
      <c r="J63" s="538">
        <v>60</v>
      </c>
      <c r="K63" s="879">
        <f>$H63*_xlfn.XLOOKUP($G63,'Baumaterialien Matériaux'!$A:$A,'Baumaterialien Matériaux'!V:V,0,0)</f>
        <v>114.41250000000001</v>
      </c>
      <c r="L63" s="879">
        <f>$H63*_xlfn.XLOOKUP($G63,'Baumaterialien Matériaux'!$A:$A,'Baumaterialien Matériaux'!Y:Y,0,0)</f>
        <v>1.7043750000000002</v>
      </c>
      <c r="M63" s="879">
        <f>$H63*_xlfn.XLOOKUP($G63,'Baumaterialien Matériaux'!$A:$A,'Baumaterialien Matériaux'!AA:AA,0,0)</f>
        <v>26.088750000000001</v>
      </c>
      <c r="N63" s="879">
        <f>$H63*_xlfn.XLOOKUP($G63,'Baumaterialien Matériaux'!$A:$A,'Baumaterialien Matériaux'!AB:AB,0,0)</f>
        <v>0.41175</v>
      </c>
      <c r="O63" s="879">
        <f>$H63*_xlfn.XLOOKUP($G63,'Baumaterialien Matériaux'!$A:$A,'Baumaterialien Matériaux'!AC:AC,0,0)*44/12</f>
        <v>0</v>
      </c>
      <c r="P63" s="879">
        <f>$H63*_xlfn.XLOOKUP($G63,'Baumaterialien Matériaux'!$A:$A,'Baumaterialien Matériaux'!AG:AG,0,0)</f>
        <v>0</v>
      </c>
      <c r="Q63" s="879">
        <f>$H63*_xlfn.XLOOKUP($G63,'Baumaterialien Matériaux'!$A:$A,'Baumaterialien Matériaux'!AH:AH,0,0)</f>
        <v>0</v>
      </c>
      <c r="U63" s="1785"/>
      <c r="V63" s="1785"/>
    </row>
    <row r="64" spans="1:22" s="540" customFormat="1">
      <c r="A64" s="796"/>
      <c r="B64" s="1922"/>
      <c r="C64" s="538" t="s">
        <v>589</v>
      </c>
      <c r="D64" s="538" t="str">
        <f>VLOOKUP(G64,'Baumaterialien Matériaux'!$A$10:$AD$432,30,FALSE)</f>
        <v>Bois massif 3 et 5 plis</v>
      </c>
      <c r="E64" s="1785"/>
      <c r="F64" s="538" t="str">
        <f>VLOOKUP(G64,'Baumaterialien Matériaux'!$A$10:$AD$432,7,FALSE)</f>
        <v>kg</v>
      </c>
      <c r="G64" s="538" t="s">
        <v>590</v>
      </c>
      <c r="H64" s="955">
        <f>2/5*0.025*470</f>
        <v>4.7000000000000011</v>
      </c>
      <c r="I64" s="539"/>
      <c r="J64" s="538">
        <v>60</v>
      </c>
      <c r="K64" s="879">
        <f>$H64*_xlfn.XLOOKUP($G64,'Baumaterialien Matériaux'!$A:$A,'Baumaterialien Matériaux'!V:V,0,0)</f>
        <v>9.8230000000000022</v>
      </c>
      <c r="L64" s="879">
        <f>$H64*_xlfn.XLOOKUP($G64,'Baumaterialien Matériaux'!$A:$A,'Baumaterialien Matériaux'!Y:Y,0,0)</f>
        <v>0.43381000000000008</v>
      </c>
      <c r="M64" s="879">
        <f>$H64*_xlfn.XLOOKUP($G64,'Baumaterialien Matériaux'!$A:$A,'Baumaterialien Matériaux'!AA:AA,0,0)</f>
        <v>1.9458000000000004</v>
      </c>
      <c r="N64" s="879">
        <f>$H64*_xlfn.XLOOKUP($G64,'Baumaterialien Matériaux'!$A:$A,'Baumaterialien Matériaux'!AB:AB,0,0)</f>
        <v>0.25991000000000009</v>
      </c>
      <c r="O64" s="879">
        <f>$H64*_xlfn.XLOOKUP($G64,'Baumaterialien Matériaux'!$A:$A,'Baumaterialien Matériaux'!AC:AC,0,0)*44/12</f>
        <v>7.4620333333333342</v>
      </c>
      <c r="P64" s="879">
        <f>$H64*_xlfn.XLOOKUP($G64,'Baumaterialien Matériaux'!$A:$A,'Baumaterialien Matériaux'!AG:AG,0,0)</f>
        <v>0</v>
      </c>
      <c r="Q64" s="879">
        <f>$H64*_xlfn.XLOOKUP($G64,'Baumaterialien Matériaux'!$A:$A,'Baumaterialien Matériaux'!AH:AH,0,0)</f>
        <v>0</v>
      </c>
      <c r="U64" s="1785"/>
      <c r="V64" s="1785"/>
    </row>
    <row r="65" spans="1:22" s="540" customFormat="1">
      <c r="A65" s="796"/>
      <c r="B65" s="1922"/>
      <c r="C65" s="538" t="s">
        <v>604</v>
      </c>
      <c r="D65" s="538" t="str">
        <f>VLOOKUP(G65,'Baumaterialien Matériaux'!$A$10:$AD$432,30,FALSE)</f>
        <v>Émulsion de bitume, 1 couche</v>
      </c>
      <c r="E65" s="1785"/>
      <c r="F65" s="538" t="str">
        <f>VLOOKUP(G65,'Baumaterialien Matériaux'!$A$10:$AD$432,7,FALSE)</f>
        <v>m2</v>
      </c>
      <c r="G65" s="564" t="s">
        <v>576</v>
      </c>
      <c r="H65" s="955">
        <v>1</v>
      </c>
      <c r="I65" s="539"/>
      <c r="J65" s="538">
        <v>60</v>
      </c>
      <c r="K65" s="879">
        <f>$H65*_xlfn.XLOOKUP($G65,'Baumaterialien Matériaux'!$A:$A,'Baumaterialien Matériaux'!V:V,0,0)</f>
        <v>1.84</v>
      </c>
      <c r="L65" s="879">
        <f>$H65*_xlfn.XLOOKUP($G65,'Baumaterialien Matériaux'!$A:$A,'Baumaterialien Matériaux'!Y:Y,0,0)</f>
        <v>1.4E-2</v>
      </c>
      <c r="M65" s="879">
        <f>$H65*_xlfn.XLOOKUP($G65,'Baumaterialien Matériaux'!$A:$A,'Baumaterialien Matériaux'!AA:AA,0,0)</f>
        <v>0.13400000000000001</v>
      </c>
      <c r="N65" s="879">
        <f>$H65*_xlfn.XLOOKUP($G65,'Baumaterialien Matériaux'!$A:$A,'Baumaterialien Matériaux'!AB:AB,0,0)</f>
        <v>4.6800000000000001E-2</v>
      </c>
      <c r="O65" s="879">
        <f>$H65*_xlfn.XLOOKUP($G65,'Baumaterialien Matériaux'!$A:$A,'Baumaterialien Matériaux'!AC:AC,0,0)*44/12</f>
        <v>0</v>
      </c>
      <c r="P65" s="879">
        <f>$H65*_xlfn.XLOOKUP($G65,'Baumaterialien Matériaux'!$A:$A,'Baumaterialien Matériaux'!AG:AG,0,0)</f>
        <v>0</v>
      </c>
      <c r="Q65" s="879">
        <f>$H65*_xlfn.XLOOKUP($G65,'Baumaterialien Matériaux'!$A:$A,'Baumaterialien Matériaux'!AH:AH,0,0)</f>
        <v>0</v>
      </c>
      <c r="U65" s="1785"/>
      <c r="V65" s="1785"/>
    </row>
    <row r="66" spans="1:22" s="540" customFormat="1">
      <c r="A66" s="796"/>
      <c r="B66" s="1922"/>
      <c r="C66" s="538" t="s">
        <v>605</v>
      </c>
      <c r="D66" s="538" t="str">
        <f>VLOOKUP(G66,'Baumaterialien Matériaux'!$A$10:$AD$432,30,FALSE)</f>
        <v>Lé d'étanchéité bitumineux, swissporBIKUTOP</v>
      </c>
      <c r="E66" s="1785"/>
      <c r="F66" s="538" t="str">
        <f>VLOOKUP(G66,'Baumaterialien Matériaux'!$A$10:$AD$432,7,FALSE)</f>
        <v>kg</v>
      </c>
      <c r="G66" s="538" t="s">
        <v>606</v>
      </c>
      <c r="H66" s="955">
        <v>4.7</v>
      </c>
      <c r="I66" s="539"/>
      <c r="J66" s="538">
        <v>60</v>
      </c>
      <c r="K66" s="879">
        <f>$H66*_xlfn.XLOOKUP($G66,'Baumaterialien Matériaux'!$A:$A,'Baumaterialien Matériaux'!V:V,0,0)</f>
        <v>47</v>
      </c>
      <c r="L66" s="879">
        <f>$H66*_xlfn.XLOOKUP($G66,'Baumaterialien Matériaux'!$A:$A,'Baumaterialien Matériaux'!Y:Y,0,0)</f>
        <v>1.2502000000000002</v>
      </c>
      <c r="M66" s="879">
        <f>$H66*_xlfn.XLOOKUP($G66,'Baumaterialien Matériaux'!$A:$A,'Baumaterialien Matériaux'!AA:AA,0,0)</f>
        <v>4.2629000000000001</v>
      </c>
      <c r="N66" s="879">
        <f>$H66*_xlfn.XLOOKUP($G66,'Baumaterialien Matériaux'!$A:$A,'Baumaterialien Matériaux'!AB:AB,0,0)</f>
        <v>10.951000000000001</v>
      </c>
      <c r="O66" s="879">
        <f>$H66*_xlfn.XLOOKUP($G66,'Baumaterialien Matériaux'!$A:$A,'Baumaterialien Matériaux'!AC:AC,0,0)*44/12</f>
        <v>0</v>
      </c>
      <c r="P66" s="879">
        <f>$H66*_xlfn.XLOOKUP($G66,'Baumaterialien Matériaux'!$A:$A,'Baumaterialien Matériaux'!AG:AG,0,0)</f>
        <v>0</v>
      </c>
      <c r="Q66" s="879">
        <f>$H66*_xlfn.XLOOKUP($G66,'Baumaterialien Matériaux'!$A:$A,'Baumaterialien Matériaux'!AH:AH,0,0)</f>
        <v>0</v>
      </c>
      <c r="U66" s="1785"/>
      <c r="V66" s="1785"/>
    </row>
    <row r="67" spans="1:22" s="540" customFormat="1">
      <c r="A67" s="796"/>
      <c r="B67" s="1922"/>
      <c r="C67" s="538" t="s">
        <v>580</v>
      </c>
      <c r="D67" s="538" t="str">
        <f>VLOOKUP(G67,'Baumaterialien Matériaux'!$A$10:$AD$432,30,FALSE)</f>
        <v>Polystyrène extrudé (XPS)</v>
      </c>
      <c r="E67" s="1785"/>
      <c r="F67" s="538" t="str">
        <f>VLOOKUP(G67,'Baumaterialien Matériaux'!$A$10:$AD$432,7,FALSE)</f>
        <v>kg</v>
      </c>
      <c r="G67" s="538" t="s">
        <v>581</v>
      </c>
      <c r="H67" s="955">
        <f>0.2*33</f>
        <v>6.6000000000000005</v>
      </c>
      <c r="I67" s="539"/>
      <c r="J67" s="538">
        <v>60</v>
      </c>
      <c r="K67" s="879">
        <f>$H67*_xlfn.XLOOKUP($G67,'Baumaterialien Matériaux'!$A:$A,'Baumaterialien Matériaux'!V:V,0,0)</f>
        <v>192.72</v>
      </c>
      <c r="L67" s="879">
        <f>$H67*_xlfn.XLOOKUP($G67,'Baumaterialien Matériaux'!$A:$A,'Baumaterialien Matériaux'!Y:Y,0,0)</f>
        <v>1.3332000000000002</v>
      </c>
      <c r="M67" s="879">
        <f>$H67*_xlfn.XLOOKUP($G67,'Baumaterialien Matériaux'!$A:$A,'Baumaterialien Matériaux'!AA:AA,0,0)</f>
        <v>74.580000000000013</v>
      </c>
      <c r="N67" s="879">
        <f>$H67*_xlfn.XLOOKUP($G67,'Baumaterialien Matériaux'!$A:$A,'Baumaterialien Matériaux'!AB:AB,0,0)</f>
        <v>20.394000000000002</v>
      </c>
      <c r="O67" s="879">
        <f>$H67*_xlfn.XLOOKUP($G67,'Baumaterialien Matériaux'!$A:$A,'Baumaterialien Matériaux'!AC:AC,0,0)*44/12</f>
        <v>0</v>
      </c>
      <c r="P67" s="879">
        <f>$H67*_xlfn.XLOOKUP($G67,'Baumaterialien Matériaux'!$A:$A,'Baumaterialien Matériaux'!AG:AG,0,0)</f>
        <v>0</v>
      </c>
      <c r="Q67" s="879">
        <f>$H67*_xlfn.XLOOKUP($G67,'Baumaterialien Matériaux'!$A:$A,'Baumaterialien Matériaux'!AH:AH,0,0)</f>
        <v>0</v>
      </c>
      <c r="U67" s="1785"/>
      <c r="V67" s="1785"/>
    </row>
    <row r="68" spans="1:22" s="540" customFormat="1">
      <c r="A68" s="796"/>
      <c r="B68" s="1922"/>
      <c r="C68" s="538" t="s">
        <v>607</v>
      </c>
      <c r="D68" s="538" t="str">
        <f>VLOOKUP(G68,'Baumaterialien Matériaux'!$A$10:$AD$432,30,FALSE)</f>
        <v>Lé d'étanchéité bitumineux, swissporBIKUTOP</v>
      </c>
      <c r="E68" s="1785"/>
      <c r="F68" s="538" t="str">
        <f>VLOOKUP(G68,'Baumaterialien Matériaux'!$A$10:$AD$432,7,FALSE)</f>
        <v>kg</v>
      </c>
      <c r="G68" s="538" t="s">
        <v>608</v>
      </c>
      <c r="H68" s="955">
        <f>2*3.6</f>
        <v>7.2</v>
      </c>
      <c r="I68" s="539"/>
      <c r="J68" s="538">
        <v>60</v>
      </c>
      <c r="K68" s="879">
        <f>$H68*_xlfn.XLOOKUP($G68,'Baumaterialien Matériaux'!$A:$A,'Baumaterialien Matériaux'!V:V,0,0)</f>
        <v>72</v>
      </c>
      <c r="L68" s="879">
        <f>$H68*_xlfn.XLOOKUP($G68,'Baumaterialien Matériaux'!$A:$A,'Baumaterialien Matériaux'!Y:Y,0,0)</f>
        <v>1.9152000000000002</v>
      </c>
      <c r="M68" s="879">
        <f>$H68*_xlfn.XLOOKUP($G68,'Baumaterialien Matériaux'!$A:$A,'Baumaterialien Matériaux'!AA:AA,0,0)</f>
        <v>6.5304000000000002</v>
      </c>
      <c r="N68" s="879">
        <f>$H68*_xlfn.XLOOKUP($G68,'Baumaterialien Matériaux'!$A:$A,'Baumaterialien Matériaux'!AB:AB,0,0)</f>
        <v>16.776</v>
      </c>
      <c r="O68" s="879">
        <f>$H68*_xlfn.XLOOKUP($G68,'Baumaterialien Matériaux'!$A:$A,'Baumaterialien Matériaux'!AC:AC,0,0)*44/12</f>
        <v>0</v>
      </c>
      <c r="P68" s="879">
        <f>$H68*_xlfn.XLOOKUP($G68,'Baumaterialien Matériaux'!$A:$A,'Baumaterialien Matériaux'!AG:AG,0,0)</f>
        <v>0</v>
      </c>
      <c r="Q68" s="879">
        <f>$H68*_xlfn.XLOOKUP($G68,'Baumaterialien Matériaux'!$A:$A,'Baumaterialien Matériaux'!AH:AH,0,0)</f>
        <v>0</v>
      </c>
      <c r="U68" s="1785"/>
      <c r="V68" s="1785"/>
    </row>
    <row r="69" spans="1:22" s="540" customFormat="1">
      <c r="A69" s="796"/>
      <c r="B69" s="1922"/>
      <c r="C69" s="538" t="s">
        <v>599</v>
      </c>
      <c r="D69" s="538" t="str">
        <f>VLOOKUP(G69,'Baumaterialien Matériaux'!$A$10:$AD$432,30,FALSE)</f>
        <v>Voile de polyéthylène (PE)</v>
      </c>
      <c r="E69" s="1785"/>
      <c r="F69" s="538" t="str">
        <f>VLOOKUP(G69,'Baumaterialien Matériaux'!$A$10:$AD$432,7,FALSE)</f>
        <v>kg</v>
      </c>
      <c r="G69" s="538" t="s">
        <v>600</v>
      </c>
      <c r="H69" s="955">
        <v>0.4</v>
      </c>
      <c r="I69" s="539"/>
      <c r="J69" s="538">
        <v>60</v>
      </c>
      <c r="K69" s="879">
        <f>$H69*_xlfn.XLOOKUP($G69,'Baumaterialien Matériaux'!$A:$A,'Baumaterialien Matériaux'!V:V,0,0)</f>
        <v>10.280000000000001</v>
      </c>
      <c r="L69" s="879">
        <f>$H69*_xlfn.XLOOKUP($G69,'Baumaterialien Matériaux'!$A:$A,'Baumaterialien Matériaux'!Y:Y,0,0)</f>
        <v>8.3600000000000008E-2</v>
      </c>
      <c r="M69" s="879">
        <f>$H69*_xlfn.XLOOKUP($G69,'Baumaterialien Matériaux'!$A:$A,'Baumaterialien Matériaux'!AA:AA,0,0)</f>
        <v>1.1839999999999999</v>
      </c>
      <c r="N69" s="879">
        <f>$H69*_xlfn.XLOOKUP($G69,'Baumaterialien Matériaux'!$A:$A,'Baumaterialien Matériaux'!AB:AB,0,0)</f>
        <v>1.0680000000000001</v>
      </c>
      <c r="O69" s="879">
        <f>$H69*_xlfn.XLOOKUP($G69,'Baumaterialien Matériaux'!$A:$A,'Baumaterialien Matériaux'!AC:AC,0,0)*44/12</f>
        <v>0</v>
      </c>
      <c r="P69" s="879">
        <f>$H69*_xlfn.XLOOKUP($G69,'Baumaterialien Matériaux'!$A:$A,'Baumaterialien Matériaux'!AG:AG,0,0)</f>
        <v>0</v>
      </c>
      <c r="Q69" s="879">
        <f>$H69*_xlfn.XLOOKUP($G69,'Baumaterialien Matériaux'!$A:$A,'Baumaterialien Matériaux'!AH:AH,0,0)</f>
        <v>0</v>
      </c>
      <c r="U69" s="1785"/>
      <c r="V69" s="1785"/>
    </row>
    <row r="70" spans="1:22" s="540" customFormat="1">
      <c r="A70" s="947"/>
      <c r="B70" s="1923"/>
      <c r="C70" s="538" t="s">
        <v>601</v>
      </c>
      <c r="D70" s="538" t="str">
        <f>VLOOKUP(G70,'Baumaterialien Matériaux'!$A$10:$AD$432,30,FALSE)</f>
        <v>Gravier rond 1</v>
      </c>
      <c r="E70" s="1785"/>
      <c r="F70" s="538" t="str">
        <f>VLOOKUP(G70,'Baumaterialien Matériaux'!$A$10:$AD$432,7,FALSE)</f>
        <v>kg</v>
      </c>
      <c r="G70" s="565" t="s">
        <v>602</v>
      </c>
      <c r="H70" s="955">
        <f>0.03*2000</f>
        <v>60</v>
      </c>
      <c r="I70" s="539"/>
      <c r="J70" s="538">
        <v>60</v>
      </c>
      <c r="K70" s="879">
        <f>$H70*_xlfn.XLOOKUP($G70,'Baumaterialien Matériaux'!$A:$A,'Baumaterialien Matériaux'!V:V,0,0)</f>
        <v>0.93599999999999994</v>
      </c>
      <c r="L70" s="879">
        <f>$H70*_xlfn.XLOOKUP($G70,'Baumaterialien Matériaux'!$A:$A,'Baumaterialien Matériaux'!Y:Y,0,0)</f>
        <v>3.1560000000000001</v>
      </c>
      <c r="M70" s="879">
        <f>$H70*_xlfn.XLOOKUP($G70,'Baumaterialien Matériaux'!$A:$A,'Baumaterialien Matériaux'!AA:AA,0,0)</f>
        <v>0.18300000000000002</v>
      </c>
      <c r="N70" s="879">
        <f>$H70*_xlfn.XLOOKUP($G70,'Baumaterialien Matériaux'!$A:$A,'Baumaterialien Matériaux'!AB:AB,0,0)</f>
        <v>0.75600000000000001</v>
      </c>
      <c r="O70" s="879">
        <f>$H70*_xlfn.XLOOKUP($G70,'Baumaterialien Matériaux'!$A:$A,'Baumaterialien Matériaux'!AC:AC,0,0)*44/12</f>
        <v>0</v>
      </c>
      <c r="P70" s="879">
        <f>$H70*_xlfn.XLOOKUP($G70,'Baumaterialien Matériaux'!$A:$A,'Baumaterialien Matériaux'!AG:AG,0,0)</f>
        <v>0</v>
      </c>
      <c r="Q70" s="879">
        <f>$H70*_xlfn.XLOOKUP($G70,'Baumaterialien Matériaux'!$A:$A,'Baumaterialien Matériaux'!AH:AH,0,0)</f>
        <v>0</v>
      </c>
      <c r="U70" s="1785"/>
      <c r="V70" s="1785"/>
    </row>
    <row r="71" spans="1:22" s="551" customFormat="1" ht="12.75" customHeight="1" thickBot="1">
      <c r="B71" s="942"/>
      <c r="H71" s="957"/>
      <c r="I71" s="943"/>
      <c r="J71" s="945">
        <v>60</v>
      </c>
      <c r="K71" s="946">
        <f t="shared" ref="K71:L71" si="10">SUM(K62:K70)</f>
        <v>532.66521019108279</v>
      </c>
      <c r="L71" s="946">
        <f t="shared" si="10"/>
        <v>44.780103152866232</v>
      </c>
      <c r="M71" s="946">
        <f>SUM(M62:M70)</f>
        <v>175.23473694267514</v>
      </c>
      <c r="N71" s="946">
        <f>SUM(N62:N70)</f>
        <v>59.232864458598726</v>
      </c>
      <c r="O71" s="946">
        <f>SUM(O62:O70)</f>
        <v>7.4620333333333342</v>
      </c>
      <c r="P71" s="946">
        <f>SUM(P62:P70)</f>
        <v>0</v>
      </c>
      <c r="Q71" s="946">
        <f>SUM(Q62:Q70)</f>
        <v>0</v>
      </c>
      <c r="S71" s="702">
        <f>(M71+N71)/J71</f>
        <v>3.9077933566878977</v>
      </c>
      <c r="T71" s="551">
        <v>3.62</v>
      </c>
    </row>
    <row r="72" spans="1:22">
      <c r="K72" s="150"/>
      <c r="L72" s="150"/>
      <c r="M72" s="150"/>
      <c r="N72" s="150"/>
      <c r="O72" s="150"/>
      <c r="P72" s="150"/>
      <c r="Q72" s="150"/>
    </row>
    <row r="73" spans="1:22" s="540" customFormat="1" ht="14.25" customHeight="1">
      <c r="A73" s="560" t="s">
        <v>582</v>
      </c>
      <c r="B73" s="1919" t="s">
        <v>609</v>
      </c>
      <c r="C73" s="538" t="s">
        <v>569</v>
      </c>
      <c r="D73" s="538" t="str">
        <f>VLOOKUP(G73,'Baumaterialien Matériaux'!$A$10:$AD$432,30,FALSE)</f>
        <v>Béton pour bâtiment (sans armature)</v>
      </c>
      <c r="E73" s="1785"/>
      <c r="F73" s="538" t="str">
        <f>VLOOKUP(G73,'Baumaterialien Matériaux'!$A$10:$AD$432,7,FALSE)</f>
        <v>kg</v>
      </c>
      <c r="G73" s="561" t="s">
        <v>570</v>
      </c>
      <c r="H73" s="955">
        <f>(0.3-H74/7850)*2300</f>
        <v>680.11146496815275</v>
      </c>
      <c r="I73" s="539"/>
      <c r="J73" s="538">
        <v>60</v>
      </c>
      <c r="K73" s="879">
        <f>$H73*_xlfn.XLOOKUP($G73,'Baumaterialien Matériaux'!$A:$A,'Baumaterialien Matériaux'!V:V,0,0)</f>
        <v>83.65371019108278</v>
      </c>
      <c r="L73" s="879">
        <f>$H73*_xlfn.XLOOKUP($G73,'Baumaterialien Matériaux'!$A:$A,'Baumaterialien Matériaux'!Y:Y,0,0)</f>
        <v>34.889718152866237</v>
      </c>
      <c r="M73" s="879">
        <f>$H73*_xlfn.XLOOKUP($G73,'Baumaterialien Matériaux'!$A:$A,'Baumaterialien Matériaux'!AA:AA,0,0)</f>
        <v>60.325886942675147</v>
      </c>
      <c r="N73" s="879">
        <f>$H73*_xlfn.XLOOKUP($G73,'Baumaterialien Matériaux'!$A:$A,'Baumaterialien Matériaux'!AB:AB,0,0)</f>
        <v>8.5694044585987239</v>
      </c>
      <c r="O73" s="879">
        <f>$H73*_xlfn.XLOOKUP($G73,'Baumaterialien Matériaux'!$A:$A,'Baumaterialien Matériaux'!AC:AC,0,0)*44/12</f>
        <v>0</v>
      </c>
      <c r="P73" s="879">
        <f>$H73*_xlfn.XLOOKUP($G73,'Baumaterialien Matériaux'!$A:$A,'Baumaterialien Matériaux'!AG:AG,0,0)</f>
        <v>0</v>
      </c>
      <c r="Q73" s="879">
        <f>$H73*_xlfn.XLOOKUP($G73,'Baumaterialien Matériaux'!$A:$A,'Baumaterialien Matériaux'!AH:AH,0,0)</f>
        <v>0</v>
      </c>
      <c r="U73" s="1785"/>
      <c r="V73" s="1785"/>
    </row>
    <row r="74" spans="1:22" s="540" customFormat="1">
      <c r="A74" s="796"/>
      <c r="B74" s="1920"/>
      <c r="C74" s="538" t="s">
        <v>571</v>
      </c>
      <c r="D74" s="538" t="str">
        <f>VLOOKUP(G74,'Baumaterialien Matériaux'!$A$10:$AD$432,30,FALSE)</f>
        <v>Acier d'armature</v>
      </c>
      <c r="E74" s="1785"/>
      <c r="F74" s="538" t="str">
        <f>VLOOKUP(G74,'Baumaterialien Matériaux'!$A$10:$AD$432,7,FALSE)</f>
        <v>kg</v>
      </c>
      <c r="G74" s="538" t="s">
        <v>572</v>
      </c>
      <c r="H74" s="955">
        <f>112.5*0.3</f>
        <v>33.75</v>
      </c>
      <c r="I74" s="539"/>
      <c r="J74" s="538">
        <v>60</v>
      </c>
      <c r="K74" s="879">
        <f>$H74*_xlfn.XLOOKUP($G74,'Baumaterialien Matériaux'!$A:$A,'Baumaterialien Matériaux'!V:V,0,0)</f>
        <v>114.41250000000001</v>
      </c>
      <c r="L74" s="879">
        <f>$H74*_xlfn.XLOOKUP($G74,'Baumaterialien Matériaux'!$A:$A,'Baumaterialien Matériaux'!Y:Y,0,0)</f>
        <v>1.7043750000000002</v>
      </c>
      <c r="M74" s="879">
        <f>$H74*_xlfn.XLOOKUP($G74,'Baumaterialien Matériaux'!$A:$A,'Baumaterialien Matériaux'!AA:AA,0,0)</f>
        <v>26.088750000000001</v>
      </c>
      <c r="N74" s="879">
        <f>$H74*_xlfn.XLOOKUP($G74,'Baumaterialien Matériaux'!$A:$A,'Baumaterialien Matériaux'!AB:AB,0,0)</f>
        <v>0.41175</v>
      </c>
      <c r="O74" s="879">
        <f>$H74*_xlfn.XLOOKUP($G74,'Baumaterialien Matériaux'!$A:$A,'Baumaterialien Matériaux'!AC:AC,0,0)*44/12</f>
        <v>0</v>
      </c>
      <c r="P74" s="879">
        <f>$H74*_xlfn.XLOOKUP($G74,'Baumaterialien Matériaux'!$A:$A,'Baumaterialien Matériaux'!AG:AG,0,0)</f>
        <v>0</v>
      </c>
      <c r="Q74" s="879">
        <f>$H74*_xlfn.XLOOKUP($G74,'Baumaterialien Matériaux'!$A:$A,'Baumaterialien Matériaux'!AH:AH,0,0)</f>
        <v>0</v>
      </c>
      <c r="U74" s="1785"/>
      <c r="V74" s="1785"/>
    </row>
    <row r="75" spans="1:22" s="540" customFormat="1">
      <c r="A75" s="796"/>
      <c r="B75" s="1920"/>
      <c r="C75" s="538" t="s">
        <v>589</v>
      </c>
      <c r="D75" s="538" t="str">
        <f>VLOOKUP(G75,'Baumaterialien Matériaux'!$A$10:$AD$432,30,FALSE)</f>
        <v>Bois massif 3 et 5 plis</v>
      </c>
      <c r="E75" s="1785"/>
      <c r="F75" s="538" t="str">
        <f>VLOOKUP(G75,'Baumaterialien Matériaux'!$A$10:$AD$432,7,FALSE)</f>
        <v>kg</v>
      </c>
      <c r="G75" s="538" t="s">
        <v>590</v>
      </c>
      <c r="H75" s="955">
        <f>2/5*0.025*470</f>
        <v>4.7000000000000011</v>
      </c>
      <c r="I75" s="539"/>
      <c r="J75" s="538">
        <v>60</v>
      </c>
      <c r="K75" s="879">
        <f>$H75*_xlfn.XLOOKUP($G75,'Baumaterialien Matériaux'!$A:$A,'Baumaterialien Matériaux'!V:V,0,0)</f>
        <v>9.8230000000000022</v>
      </c>
      <c r="L75" s="879">
        <f>$H75*_xlfn.XLOOKUP($G75,'Baumaterialien Matériaux'!$A:$A,'Baumaterialien Matériaux'!Y:Y,0,0)</f>
        <v>0.43381000000000008</v>
      </c>
      <c r="M75" s="879">
        <f>$H75*_xlfn.XLOOKUP($G75,'Baumaterialien Matériaux'!$A:$A,'Baumaterialien Matériaux'!AA:AA,0,0)</f>
        <v>1.9458000000000004</v>
      </c>
      <c r="N75" s="879">
        <f>$H75*_xlfn.XLOOKUP($G75,'Baumaterialien Matériaux'!$A:$A,'Baumaterialien Matériaux'!AB:AB,0,0)</f>
        <v>0.25991000000000009</v>
      </c>
      <c r="O75" s="879">
        <f>$H75*_xlfn.XLOOKUP($G75,'Baumaterialien Matériaux'!$A:$A,'Baumaterialien Matériaux'!AC:AC,0,0)*44/12</f>
        <v>7.4620333333333342</v>
      </c>
      <c r="P75" s="879">
        <f>$H75*_xlfn.XLOOKUP($G75,'Baumaterialien Matériaux'!$A:$A,'Baumaterialien Matériaux'!AG:AG,0,0)</f>
        <v>0</v>
      </c>
      <c r="Q75" s="879">
        <f>$H75*_xlfn.XLOOKUP($G75,'Baumaterialien Matériaux'!$A:$A,'Baumaterialien Matériaux'!AH:AH,0,0)</f>
        <v>0</v>
      </c>
      <c r="U75" s="1785"/>
      <c r="V75" s="1785"/>
    </row>
    <row r="76" spans="1:22" s="540" customFormat="1">
      <c r="A76" s="796"/>
      <c r="B76" s="1920"/>
      <c r="C76" s="538" t="s">
        <v>604</v>
      </c>
      <c r="D76" s="538" t="str">
        <f>VLOOKUP(G76,'Baumaterialien Matériaux'!$A$10:$AD$432,30,FALSE)</f>
        <v>Émulsion de bitume, 1 couche</v>
      </c>
      <c r="E76" s="1785"/>
      <c r="F76" s="538" t="str">
        <f>VLOOKUP(G76,'Baumaterialien Matériaux'!$A$10:$AD$432,7,FALSE)</f>
        <v>m2</v>
      </c>
      <c r="G76" s="564" t="s">
        <v>576</v>
      </c>
      <c r="H76" s="955">
        <v>1</v>
      </c>
      <c r="I76" s="539"/>
      <c r="J76" s="538">
        <v>60</v>
      </c>
      <c r="K76" s="879">
        <f>$H76*_xlfn.XLOOKUP($G76,'Baumaterialien Matériaux'!$A:$A,'Baumaterialien Matériaux'!V:V,0,0)</f>
        <v>1.84</v>
      </c>
      <c r="L76" s="879">
        <f>$H76*_xlfn.XLOOKUP($G76,'Baumaterialien Matériaux'!$A:$A,'Baumaterialien Matériaux'!Y:Y,0,0)</f>
        <v>1.4E-2</v>
      </c>
      <c r="M76" s="879">
        <f>$H76*_xlfn.XLOOKUP($G76,'Baumaterialien Matériaux'!$A:$A,'Baumaterialien Matériaux'!AA:AA,0,0)</f>
        <v>0.13400000000000001</v>
      </c>
      <c r="N76" s="879">
        <f>$H76*_xlfn.XLOOKUP($G76,'Baumaterialien Matériaux'!$A:$A,'Baumaterialien Matériaux'!AB:AB,0,0)</f>
        <v>4.6800000000000001E-2</v>
      </c>
      <c r="O76" s="879">
        <f>$H76*_xlfn.XLOOKUP($G76,'Baumaterialien Matériaux'!$A:$A,'Baumaterialien Matériaux'!AC:AC,0,0)*44/12</f>
        <v>0</v>
      </c>
      <c r="P76" s="879">
        <f>$H76*_xlfn.XLOOKUP($G76,'Baumaterialien Matériaux'!$A:$A,'Baumaterialien Matériaux'!AG:AG,0,0)</f>
        <v>0</v>
      </c>
      <c r="Q76" s="879">
        <f>$H76*_xlfn.XLOOKUP($G76,'Baumaterialien Matériaux'!$A:$A,'Baumaterialien Matériaux'!AH:AH,0,0)</f>
        <v>0</v>
      </c>
      <c r="U76" s="1785"/>
      <c r="V76" s="1785"/>
    </row>
    <row r="77" spans="1:22" s="540" customFormat="1">
      <c r="A77" s="796"/>
      <c r="B77" s="1920"/>
      <c r="C77" s="538" t="s">
        <v>605</v>
      </c>
      <c r="D77" s="538" t="str">
        <f>VLOOKUP(G77,'Baumaterialien Matériaux'!$A$10:$AD$432,30,FALSE)</f>
        <v>Lé d'étanchéité bitumineux, swissporBIKUTOP</v>
      </c>
      <c r="E77" s="1785"/>
      <c r="F77" s="538" t="str">
        <f>VLOOKUP(G77,'Baumaterialien Matériaux'!$A$10:$AD$432,7,FALSE)</f>
        <v>kg</v>
      </c>
      <c r="G77" s="538" t="s">
        <v>606</v>
      </c>
      <c r="H77" s="955">
        <v>4.7</v>
      </c>
      <c r="I77" s="539"/>
      <c r="J77" s="538">
        <v>60</v>
      </c>
      <c r="K77" s="879">
        <f>$H77*_xlfn.XLOOKUP($G77,'Baumaterialien Matériaux'!$A:$A,'Baumaterialien Matériaux'!V:V,0,0)</f>
        <v>47</v>
      </c>
      <c r="L77" s="879">
        <f>$H77*_xlfn.XLOOKUP($G77,'Baumaterialien Matériaux'!$A:$A,'Baumaterialien Matériaux'!Y:Y,0,0)</f>
        <v>1.2502000000000002</v>
      </c>
      <c r="M77" s="879">
        <f>$H77*_xlfn.XLOOKUP($G77,'Baumaterialien Matériaux'!$A:$A,'Baumaterialien Matériaux'!AA:AA,0,0)</f>
        <v>4.2629000000000001</v>
      </c>
      <c r="N77" s="879">
        <f>$H77*_xlfn.XLOOKUP($G77,'Baumaterialien Matériaux'!$A:$A,'Baumaterialien Matériaux'!AB:AB,0,0)</f>
        <v>10.951000000000001</v>
      </c>
      <c r="O77" s="879">
        <f>$H77*_xlfn.XLOOKUP($G77,'Baumaterialien Matériaux'!$A:$A,'Baumaterialien Matériaux'!AC:AC,0,0)*44/12</f>
        <v>0</v>
      </c>
      <c r="P77" s="879">
        <f>$H77*_xlfn.XLOOKUP($G77,'Baumaterialien Matériaux'!$A:$A,'Baumaterialien Matériaux'!AG:AG,0,0)</f>
        <v>0</v>
      </c>
      <c r="Q77" s="879">
        <f>$H77*_xlfn.XLOOKUP($G77,'Baumaterialien Matériaux'!$A:$A,'Baumaterialien Matériaux'!AH:AH,0,0)</f>
        <v>0</v>
      </c>
      <c r="U77" s="1785"/>
      <c r="V77" s="1785"/>
    </row>
    <row r="78" spans="1:22" s="540" customFormat="1">
      <c r="A78" s="796"/>
      <c r="B78" s="1920"/>
      <c r="C78" s="538" t="s">
        <v>584</v>
      </c>
      <c r="D78" s="538" t="str">
        <f>VLOOKUP(G78,'Baumaterialien Matériaux'!$A$10:$AD$432,30,FALSE)</f>
        <v>Verre cellulaire</v>
      </c>
      <c r="E78" s="1785"/>
      <c r="F78" s="538" t="str">
        <f>VLOOKUP(G78,'Baumaterialien Matériaux'!$A$10:$AD$432,7,FALSE)</f>
        <v>kg</v>
      </c>
      <c r="G78" s="538" t="s">
        <v>585</v>
      </c>
      <c r="H78" s="955">
        <f>0.25*115</f>
        <v>28.75</v>
      </c>
      <c r="I78" s="539"/>
      <c r="J78" s="538">
        <v>60</v>
      </c>
      <c r="K78" s="879">
        <f>$H78*_xlfn.XLOOKUP($G78,'Baumaterialien Matériaux'!$A:$A,'Baumaterialien Matériaux'!V:V,0,0)</f>
        <v>146.91250000000002</v>
      </c>
      <c r="L78" s="879">
        <f>$H78*_xlfn.XLOOKUP($G78,'Baumaterialien Matériaux'!$A:$A,'Baumaterialien Matériaux'!Y:Y,0,0)</f>
        <v>1.5122500000000001</v>
      </c>
      <c r="M78" s="879">
        <f>$H78*_xlfn.XLOOKUP($G78,'Baumaterialien Matériaux'!$A:$A,'Baumaterialien Matériaux'!AA:AA,0,0)</f>
        <v>33.637499999999996</v>
      </c>
      <c r="N78" s="879">
        <f>$H78*_xlfn.XLOOKUP($G78,'Baumaterialien Matériaux'!$A:$A,'Baumaterialien Matériaux'!AB:AB,0,0)</f>
        <v>0.36512499999999998</v>
      </c>
      <c r="O78" s="879">
        <f>$H78*_xlfn.XLOOKUP($G78,'Baumaterialien Matériaux'!$A:$A,'Baumaterialien Matériaux'!AC:AC,0,0)*44/12</f>
        <v>0</v>
      </c>
      <c r="P78" s="879">
        <f>$H78*_xlfn.XLOOKUP($G78,'Baumaterialien Matériaux'!$A:$A,'Baumaterialien Matériaux'!AG:AG,0,0)</f>
        <v>0</v>
      </c>
      <c r="Q78" s="879">
        <f>$H78*_xlfn.XLOOKUP($G78,'Baumaterialien Matériaux'!$A:$A,'Baumaterialien Matériaux'!AH:AH,0,0)</f>
        <v>0</v>
      </c>
      <c r="U78" s="1785"/>
      <c r="V78" s="1785"/>
    </row>
    <row r="79" spans="1:22" s="540" customFormat="1">
      <c r="A79" s="796"/>
      <c r="B79" s="1920"/>
      <c r="C79" s="538" t="s">
        <v>610</v>
      </c>
      <c r="D79" s="538" t="str">
        <f>VLOOKUP(G79,'Baumaterialien Matériaux'!$A$10:$AD$432,30,FALSE)</f>
        <v>Masse bitumeuse, chaude</v>
      </c>
      <c r="E79" s="1785"/>
      <c r="F79" s="538" t="str">
        <f>VLOOKUP(G79,'Baumaterialien Matériaux'!$A$10:$AD$432,7,FALSE)</f>
        <v>kg</v>
      </c>
      <c r="G79" s="538" t="s">
        <v>593</v>
      </c>
      <c r="H79" s="955">
        <f>13</f>
        <v>13</v>
      </c>
      <c r="I79" s="539"/>
      <c r="J79" s="538">
        <v>60</v>
      </c>
      <c r="K79" s="879">
        <f>$H79*_xlfn.XLOOKUP($G79,'Baumaterialien Matériaux'!$A:$A,'Baumaterialien Matériaux'!V:V,0,0)</f>
        <v>193.70000000000002</v>
      </c>
      <c r="L79" s="879">
        <f>$H79*_xlfn.XLOOKUP($G79,'Baumaterialien Matériaux'!$A:$A,'Baumaterialien Matériaux'!Y:Y,0,0)</f>
        <v>0.72540000000000004</v>
      </c>
      <c r="M79" s="879">
        <f>$H79*_xlfn.XLOOKUP($G79,'Baumaterialien Matériaux'!$A:$A,'Baumaterialien Matériaux'!AA:AA,0,0)</f>
        <v>11.778</v>
      </c>
      <c r="N79" s="879">
        <f>$H79*_xlfn.XLOOKUP($G79,'Baumaterialien Matériaux'!$A:$A,'Baumaterialien Matériaux'!AB:AB,0,0)</f>
        <v>2.431</v>
      </c>
      <c r="O79" s="879">
        <f>$H79*_xlfn.XLOOKUP($G79,'Baumaterialien Matériaux'!$A:$A,'Baumaterialien Matériaux'!AC:AC,0,0)*44/12</f>
        <v>0</v>
      </c>
      <c r="P79" s="879">
        <f>$H79*_xlfn.XLOOKUP($G79,'Baumaterialien Matériaux'!$A:$A,'Baumaterialien Matériaux'!AG:AG,0,0)</f>
        <v>0</v>
      </c>
      <c r="Q79" s="879">
        <f>$H79*_xlfn.XLOOKUP($G79,'Baumaterialien Matériaux'!$A:$A,'Baumaterialien Matériaux'!AH:AH,0,0)</f>
        <v>0</v>
      </c>
      <c r="U79" s="1785"/>
      <c r="V79" s="1785"/>
    </row>
    <row r="80" spans="1:22" s="540" customFormat="1">
      <c r="A80" s="796"/>
      <c r="B80" s="1920"/>
      <c r="C80" s="538" t="s">
        <v>607</v>
      </c>
      <c r="D80" s="538" t="str">
        <f>VLOOKUP(G80,'Baumaterialien Matériaux'!$A$10:$AD$432,30,FALSE)</f>
        <v>Lé d'étanchéité bitumineux, swissporBIKUTOP</v>
      </c>
      <c r="E80" s="1785"/>
      <c r="F80" s="538" t="str">
        <f>VLOOKUP(G80,'Baumaterialien Matériaux'!$A$10:$AD$432,7,FALSE)</f>
        <v>kg</v>
      </c>
      <c r="G80" s="538" t="s">
        <v>608</v>
      </c>
      <c r="H80" s="955">
        <f>2*3.6</f>
        <v>7.2</v>
      </c>
      <c r="I80" s="539"/>
      <c r="J80" s="538">
        <v>60</v>
      </c>
      <c r="K80" s="879">
        <f>$H80*_xlfn.XLOOKUP($G80,'Baumaterialien Matériaux'!$A:$A,'Baumaterialien Matériaux'!V:V,0,0)</f>
        <v>72</v>
      </c>
      <c r="L80" s="879">
        <f>$H80*_xlfn.XLOOKUP($G80,'Baumaterialien Matériaux'!$A:$A,'Baumaterialien Matériaux'!Y:Y,0,0)</f>
        <v>1.9152000000000002</v>
      </c>
      <c r="M80" s="879">
        <f>$H80*_xlfn.XLOOKUP($G80,'Baumaterialien Matériaux'!$A:$A,'Baumaterialien Matériaux'!AA:AA,0,0)</f>
        <v>6.5304000000000002</v>
      </c>
      <c r="N80" s="879">
        <f>$H80*_xlfn.XLOOKUP($G80,'Baumaterialien Matériaux'!$A:$A,'Baumaterialien Matériaux'!AB:AB,0,0)</f>
        <v>16.776</v>
      </c>
      <c r="O80" s="879">
        <f>$H80*_xlfn.XLOOKUP($G80,'Baumaterialien Matériaux'!$A:$A,'Baumaterialien Matériaux'!AC:AC,0,0)*44/12</f>
        <v>0</v>
      </c>
      <c r="P80" s="879">
        <f>$H80*_xlfn.XLOOKUP($G80,'Baumaterialien Matériaux'!$A:$A,'Baumaterialien Matériaux'!AG:AG,0,0)</f>
        <v>0</v>
      </c>
      <c r="Q80" s="879">
        <f>$H80*_xlfn.XLOOKUP($G80,'Baumaterialien Matériaux'!$A:$A,'Baumaterialien Matériaux'!AH:AH,0,0)</f>
        <v>0</v>
      </c>
      <c r="U80" s="1785"/>
      <c r="V80" s="1785"/>
    </row>
    <row r="81" spans="1:22" s="540" customFormat="1">
      <c r="A81" s="947"/>
      <c r="B81" s="1920"/>
      <c r="C81" s="538" t="s">
        <v>599</v>
      </c>
      <c r="D81" s="538" t="str">
        <f>VLOOKUP(G81,'Baumaterialien Matériaux'!$A$10:$AD$432,30,FALSE)</f>
        <v>Voile de polyéthylène (PE)</v>
      </c>
      <c r="E81" s="1785"/>
      <c r="F81" s="538" t="str">
        <f>VLOOKUP(G81,'Baumaterialien Matériaux'!$A$10:$AD$432,7,FALSE)</f>
        <v>kg</v>
      </c>
      <c r="G81" s="565" t="s">
        <v>600</v>
      </c>
      <c r="H81" s="955">
        <v>0.4</v>
      </c>
      <c r="I81" s="539"/>
      <c r="J81" s="538">
        <v>60</v>
      </c>
      <c r="K81" s="879">
        <f>$H81*_xlfn.XLOOKUP($G81,'Baumaterialien Matériaux'!$A:$A,'Baumaterialien Matériaux'!V:V,0,0)</f>
        <v>10.280000000000001</v>
      </c>
      <c r="L81" s="879">
        <f>$H81*_xlfn.XLOOKUP($G81,'Baumaterialien Matériaux'!$A:$A,'Baumaterialien Matériaux'!Y:Y,0,0)</f>
        <v>8.3600000000000008E-2</v>
      </c>
      <c r="M81" s="879">
        <f>$H81*_xlfn.XLOOKUP($G81,'Baumaterialien Matériaux'!$A:$A,'Baumaterialien Matériaux'!AA:AA,0,0)</f>
        <v>1.1839999999999999</v>
      </c>
      <c r="N81" s="879">
        <f>$H81*_xlfn.XLOOKUP($G81,'Baumaterialien Matériaux'!$A:$A,'Baumaterialien Matériaux'!AB:AB,0,0)</f>
        <v>1.0680000000000001</v>
      </c>
      <c r="O81" s="879">
        <f>$H81*_xlfn.XLOOKUP($G81,'Baumaterialien Matériaux'!$A:$A,'Baumaterialien Matériaux'!AC:AC,0,0)*44/12</f>
        <v>0</v>
      </c>
      <c r="P81" s="879">
        <f>$H81*_xlfn.XLOOKUP($G81,'Baumaterialien Matériaux'!$A:$A,'Baumaterialien Matériaux'!AG:AG,0,0)</f>
        <v>0</v>
      </c>
      <c r="Q81" s="879">
        <f>$H81*_xlfn.XLOOKUP($G81,'Baumaterialien Matériaux'!$A:$A,'Baumaterialien Matériaux'!AH:AH,0,0)</f>
        <v>0</v>
      </c>
      <c r="U81" s="1785"/>
      <c r="V81" s="1785"/>
    </row>
    <row r="82" spans="1:22" s="540" customFormat="1">
      <c r="A82" s="548"/>
      <c r="B82" s="1920"/>
      <c r="C82" s="570" t="s">
        <v>601</v>
      </c>
      <c r="D82" s="538" t="str">
        <f>VLOOKUP(G82,'Baumaterialien Matériaux'!$A$10:$AD$432,30,FALSE)</f>
        <v>Gravier rond 1</v>
      </c>
      <c r="E82" s="1785"/>
      <c r="F82" s="538" t="str">
        <f>VLOOKUP(G82,'Baumaterialien Matériaux'!$A$10:$AD$432,7,FALSE)</f>
        <v>kg</v>
      </c>
      <c r="G82" s="565" t="s">
        <v>602</v>
      </c>
      <c r="H82" s="955">
        <f>0.03*2000</f>
        <v>60</v>
      </c>
      <c r="I82" s="539"/>
      <c r="J82" s="538">
        <v>60</v>
      </c>
      <c r="K82" s="879">
        <f>$H82*_xlfn.XLOOKUP($G82,'Baumaterialien Matériaux'!$A:$A,'Baumaterialien Matériaux'!V:V,0,0)</f>
        <v>0.93599999999999994</v>
      </c>
      <c r="L82" s="879">
        <f>$H82*_xlfn.XLOOKUP($G82,'Baumaterialien Matériaux'!$A:$A,'Baumaterialien Matériaux'!Y:Y,0,0)</f>
        <v>3.1560000000000001</v>
      </c>
      <c r="M82" s="879">
        <f>$H82*_xlfn.XLOOKUP($G82,'Baumaterialien Matériaux'!$A:$A,'Baumaterialien Matériaux'!AA:AA,0,0)</f>
        <v>0.18300000000000002</v>
      </c>
      <c r="N82" s="879">
        <f>$H82*_xlfn.XLOOKUP($G82,'Baumaterialien Matériaux'!$A:$A,'Baumaterialien Matériaux'!AB:AB,0,0)</f>
        <v>0.75600000000000001</v>
      </c>
      <c r="O82" s="879">
        <f>$H82*_xlfn.XLOOKUP($G82,'Baumaterialien Matériaux'!$A:$A,'Baumaterialien Matériaux'!AC:AC,0,0)*44/12</f>
        <v>0</v>
      </c>
      <c r="P82" s="879">
        <f>$H82*_xlfn.XLOOKUP($G82,'Baumaterialien Matériaux'!$A:$A,'Baumaterialien Matériaux'!AG:AG,0,0)</f>
        <v>0</v>
      </c>
      <c r="Q82" s="879">
        <f>$H82*_xlfn.XLOOKUP($G82,'Baumaterialien Matériaux'!$A:$A,'Baumaterialien Matériaux'!AH:AH,0,0)</f>
        <v>0</v>
      </c>
      <c r="U82" s="1785"/>
      <c r="V82" s="1785"/>
    </row>
    <row r="83" spans="1:22" s="551" customFormat="1" ht="12.75" customHeight="1" thickBot="1">
      <c r="B83" s="942"/>
      <c r="H83" s="957"/>
      <c r="I83" s="943"/>
      <c r="J83" s="945">
        <v>60</v>
      </c>
      <c r="K83" s="946">
        <f t="shared" ref="K83:L83" si="11">SUM(K73:K82)</f>
        <v>680.55771019108283</v>
      </c>
      <c r="L83" s="946">
        <f t="shared" si="11"/>
        <v>45.684553152866236</v>
      </c>
      <c r="M83" s="946">
        <f>SUM(M73:M82)</f>
        <v>146.07023694267511</v>
      </c>
      <c r="N83" s="946">
        <f>SUM(N73:N82)</f>
        <v>41.634989458598724</v>
      </c>
      <c r="O83" s="946">
        <f>SUM(O73:O82)</f>
        <v>7.4620333333333342</v>
      </c>
      <c r="P83" s="946">
        <f>SUM(P73:P82)</f>
        <v>0</v>
      </c>
      <c r="Q83" s="946">
        <f>SUM(Q73:Q82)</f>
        <v>0</v>
      </c>
      <c r="S83" s="702">
        <f>(M83+N83)/J83</f>
        <v>3.1284204400212303</v>
      </c>
      <c r="T83" s="551">
        <v>3.62</v>
      </c>
    </row>
    <row r="88" spans="1:22" s="645" customFormat="1" ht="15">
      <c r="A88" s="643" t="s">
        <v>541</v>
      </c>
      <c r="B88" s="643"/>
      <c r="C88" s="643"/>
      <c r="D88" s="643"/>
      <c r="E88" s="643"/>
      <c r="F88" s="643"/>
      <c r="G88" s="643"/>
      <c r="H88" s="958"/>
      <c r="I88" s="644"/>
      <c r="N88" s="884"/>
      <c r="O88" s="884"/>
      <c r="P88" s="884"/>
      <c r="Q88" s="884"/>
      <c r="U88" s="643"/>
      <c r="V88" s="643"/>
    </row>
  </sheetData>
  <customSheetViews>
    <customSheetView guid="{B32447E2-AB5B-4CBB-881B-FF11349CA4D6}" scale="70">
      <pane ySplit="1" topLeftCell="A2" activePane="bottomLeft" state="frozen"/>
      <selection pane="bottomLeft" activeCell="A42" sqref="A42:A48"/>
      <pageMargins left="0" right="0" top="0" bottom="0" header="0" footer="0"/>
      <pageSetup paperSize="9" orientation="portrait" r:id="rId1"/>
    </customSheetView>
    <customSheetView guid="{9FA74287-E657-475B-BF4B-3C8C757714AE}" scale="70">
      <pane ySplit="1" topLeftCell="A2" activePane="bottomLeft" state="frozen"/>
      <selection pane="bottomLeft" activeCell="A42" sqref="A42:A48"/>
      <pageMargins left="0" right="0" top="0" bottom="0" header="0" footer="0"/>
      <pageSetup paperSize="9" orientation="portrait" r:id="rId2"/>
    </customSheetView>
    <customSheetView guid="{54A7C567-FA7D-467E-B353-ECB5E61AE756}">
      <selection activeCell="T13" sqref="T1:AS1048576"/>
      <pageMargins left="0" right="0" top="0" bottom="0" header="0" footer="0"/>
      <pageSetup paperSize="9" orientation="portrait" r:id="rId3"/>
    </customSheetView>
  </customSheetViews>
  <mergeCells count="13">
    <mergeCell ref="B34:B38"/>
    <mergeCell ref="B43:B47"/>
    <mergeCell ref="B4:B6"/>
    <mergeCell ref="B9:B11"/>
    <mergeCell ref="B17:B19"/>
    <mergeCell ref="B27:B31"/>
    <mergeCell ref="B20:B21"/>
    <mergeCell ref="B12:B13"/>
    <mergeCell ref="B73:B82"/>
    <mergeCell ref="B62:B70"/>
    <mergeCell ref="B53:B59"/>
    <mergeCell ref="B39:B40"/>
    <mergeCell ref="B48:B49"/>
  </mergeCells>
  <pageMargins left="0" right="0" top="0" bottom="0" header="0" footer="0"/>
  <pageSetup paperSize="9" orientation="portrait" r:id="rId4"/>
  <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6">
    <pageSetUpPr autoPageBreaks="0"/>
  </sheetPr>
  <dimension ref="A1:CH223"/>
  <sheetViews>
    <sheetView topLeftCell="A69" workbookViewId="0">
      <selection activeCell="D92" sqref="D92"/>
    </sheetView>
  </sheetViews>
  <sheetFormatPr baseColWidth="10" defaultColWidth="10.75" defaultRowHeight="14.25" outlineLevelCol="2"/>
  <cols>
    <col min="1" max="1" width="59.125" style="3" bestFit="1" customWidth="1"/>
    <col min="2" max="2" width="30.625" style="3" customWidth="1" outlineLevel="1"/>
    <col min="3" max="3" width="47.125" style="3" customWidth="1" outlineLevel="1"/>
    <col min="4" max="4" width="61.125" style="3" bestFit="1" customWidth="1"/>
    <col min="5" max="5" width="61.125" style="3" customWidth="1"/>
    <col min="6" max="6" width="4.625" style="3" customWidth="1"/>
    <col min="7" max="7" width="9" style="505" bestFit="1" customWidth="1"/>
    <col min="8" max="8" width="8.375" style="3" customWidth="1"/>
    <col min="9" max="9" width="2.125" style="3" customWidth="1"/>
    <col min="10" max="10" width="10.75" style="3" customWidth="1" outlineLevel="1"/>
    <col min="11" max="11" width="10.125" style="1019" customWidth="1" outlineLevel="2"/>
    <col min="12" max="12" width="11.25" style="1019" customWidth="1" outlineLevel="2"/>
    <col min="13" max="13" width="11.25" style="3" customWidth="1" outlineLevel="1"/>
    <col min="14" max="14" width="10.75" style="3" customWidth="1" outlineLevel="1"/>
    <col min="15" max="15" width="11.25" style="3" customWidth="1" outlineLevel="1"/>
    <col min="16" max="16" width="11.25" style="3" customWidth="1" outlineLevel="1" collapsed="1"/>
    <col min="17" max="20" width="10.75" style="3" customWidth="1" outlineLevel="1"/>
    <col min="21" max="16384" width="10.75" style="3"/>
  </cols>
  <sheetData>
    <row r="1" spans="1:86" ht="75">
      <c r="B1" s="1" t="s">
        <v>502</v>
      </c>
      <c r="C1" s="1" t="s">
        <v>503</v>
      </c>
      <c r="D1" s="1" t="s">
        <v>504</v>
      </c>
      <c r="E1" s="1" t="s">
        <v>4444</v>
      </c>
      <c r="F1" s="1058" t="s">
        <v>505</v>
      </c>
      <c r="G1" s="1" t="s">
        <v>506</v>
      </c>
      <c r="H1" s="125" t="s">
        <v>565</v>
      </c>
      <c r="J1" s="125" t="s">
        <v>508</v>
      </c>
      <c r="K1" s="125" t="s">
        <v>509</v>
      </c>
      <c r="L1" s="125" t="s">
        <v>510</v>
      </c>
      <c r="M1" s="125" t="s">
        <v>511</v>
      </c>
      <c r="N1" s="125" t="s">
        <v>512</v>
      </c>
      <c r="O1" s="125" t="s">
        <v>513</v>
      </c>
      <c r="P1" s="125" t="s">
        <v>514</v>
      </c>
      <c r="Q1" s="125" t="s">
        <v>515</v>
      </c>
      <c r="R1"/>
      <c r="S1" s="125" t="s">
        <v>3645</v>
      </c>
      <c r="T1" s="125" t="s">
        <v>3646</v>
      </c>
      <c r="U1" s="1" t="s">
        <v>4445</v>
      </c>
      <c r="V1" s="1" t="s">
        <v>4446</v>
      </c>
      <c r="W1"/>
      <c r="X1"/>
      <c r="Y1"/>
      <c r="Z1"/>
      <c r="AA1"/>
      <c r="AB1"/>
      <c r="AC1"/>
    </row>
    <row r="2" spans="1:86" s="964" customFormat="1" ht="15.75">
      <c r="B2" s="965"/>
      <c r="C2" s="965"/>
      <c r="D2" s="965"/>
      <c r="E2" s="965"/>
      <c r="F2" s="966"/>
      <c r="G2" s="966">
        <v>0</v>
      </c>
      <c r="H2" s="966">
        <v>0</v>
      </c>
      <c r="I2" s="966">
        <v>0</v>
      </c>
      <c r="J2" s="966">
        <v>0</v>
      </c>
      <c r="K2" s="966">
        <v>0</v>
      </c>
      <c r="L2" s="966">
        <v>0</v>
      </c>
      <c r="M2" s="966">
        <v>0</v>
      </c>
      <c r="N2" s="966">
        <v>0</v>
      </c>
      <c r="O2" s="966">
        <v>0</v>
      </c>
      <c r="P2" s="966">
        <v>0</v>
      </c>
      <c r="Q2" s="966">
        <v>0</v>
      </c>
      <c r="R2" s="967"/>
      <c r="S2" s="967"/>
      <c r="T2" s="967"/>
      <c r="U2" s="967"/>
      <c r="V2" s="967"/>
      <c r="W2" s="967"/>
      <c r="X2" s="967"/>
      <c r="Y2" s="967"/>
      <c r="Z2" s="967"/>
      <c r="AA2" s="967"/>
      <c r="AB2" s="967"/>
      <c r="AC2" s="967"/>
    </row>
    <row r="3" spans="1:86" s="134" customFormat="1" ht="15">
      <c r="A3" s="132" t="s">
        <v>421</v>
      </c>
      <c r="B3" s="132" t="str">
        <f>'Outil détaillé'!D17</f>
        <v>Parois extérieures hors terrain</v>
      </c>
      <c r="C3" s="132"/>
      <c r="D3" s="132"/>
      <c r="E3" s="132"/>
      <c r="F3" s="132"/>
      <c r="G3" s="504"/>
      <c r="H3" s="133"/>
      <c r="I3" s="132"/>
    </row>
    <row r="4" spans="1:86" s="557" customFormat="1">
      <c r="A4" s="556" t="s">
        <v>611</v>
      </c>
      <c r="B4" s="1934" t="s">
        <v>612</v>
      </c>
      <c r="C4" s="538" t="s">
        <v>613</v>
      </c>
      <c r="D4" s="538" t="str">
        <f>VLOOKUP(G4,'Baumaterialien Matériaux'!$A$10:$AD$432,30,FALSE)</f>
        <v>Béton pour bâtiment (sans armature)</v>
      </c>
      <c r="E4" s="1785">
        <v>20</v>
      </c>
      <c r="F4" s="538" t="str">
        <f>VLOOKUP(G4,'Baumaterialien Matériaux'!$A$10:$AD$432,7,FALSE)</f>
        <v>kg</v>
      </c>
      <c r="G4" s="546" t="s">
        <v>570</v>
      </c>
      <c r="H4" s="566">
        <f>(0.2-H5/7850)*2300</f>
        <v>454.2866242038217</v>
      </c>
      <c r="I4" s="547"/>
      <c r="J4" s="538">
        <v>60</v>
      </c>
      <c r="K4" s="539">
        <f>$H4*_xlfn.XLOOKUP($G4,'Baumaterialien Matériaux'!$A:$A,'Baumaterialien Matériaux'!V:V,0,0)</f>
        <v>55.877254777070071</v>
      </c>
      <c r="L4" s="539">
        <f>$H4*_xlfn.XLOOKUP($G4,'Baumaterialien Matériaux'!$A:$A,'Baumaterialien Matériaux'!Y:Y,0,0)</f>
        <v>23.304903821656051</v>
      </c>
      <c r="M4" s="539">
        <f>$H4*_xlfn.XLOOKUP($G4,'Baumaterialien Matériaux'!$A:$A,'Baumaterialien Matériaux'!AA:AA,0,0)</f>
        <v>40.295223566878988</v>
      </c>
      <c r="N4" s="539">
        <f>$H4*_xlfn.XLOOKUP($G4,'Baumaterialien Matériaux'!$A:$A,'Baumaterialien Matériaux'!AB:AB,0,0)</f>
        <v>5.7240114649681537</v>
      </c>
      <c r="O4" s="539">
        <f>$H4*_xlfn.XLOOKUP($G4,'Baumaterialien Matériaux'!$A:$A,'Baumaterialien Matériaux'!AC:AC,0,0)*44/12</f>
        <v>0</v>
      </c>
      <c r="P4" s="539">
        <f>$H4*_xlfn.XLOOKUP($G4,'Baumaterialien Matériaux'!$A:$A,'Baumaterialien Matériaux'!AG:AG,0,0)</f>
        <v>0</v>
      </c>
      <c r="Q4" s="539">
        <f>$H4*_xlfn.XLOOKUP($G4,'Baumaterialien Matériaux'!$A:$A,'Baumaterialien Matériaux'!AH:AH,0,0)</f>
        <v>0</v>
      </c>
      <c r="R4" s="540"/>
      <c r="S4" s="540"/>
      <c r="T4" s="540"/>
      <c r="U4" s="540">
        <v>2.5</v>
      </c>
      <c r="V4" s="1785">
        <f>IFERROR(E4/U4,0)</f>
        <v>8</v>
      </c>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row>
    <row r="5" spans="1:86" s="540" customFormat="1">
      <c r="B5" s="1934"/>
      <c r="C5" s="538" t="s">
        <v>614</v>
      </c>
      <c r="D5" s="538" t="str">
        <f>VLOOKUP(G5,'Baumaterialien Matériaux'!$A$10:$AD$432,30,FALSE)</f>
        <v>Acier d'armature</v>
      </c>
      <c r="E5" s="1785"/>
      <c r="F5" s="538" t="str">
        <f>VLOOKUP(G5,'Baumaterialien Matériaux'!$A$10:$AD$432,7,FALSE)</f>
        <v>kg</v>
      </c>
      <c r="G5" s="546" t="s">
        <v>572</v>
      </c>
      <c r="H5" s="566">
        <f>97.5*0.2</f>
        <v>19.5</v>
      </c>
      <c r="I5" s="547"/>
      <c r="J5" s="538">
        <v>60</v>
      </c>
      <c r="K5" s="539">
        <f>$H5*_xlfn.XLOOKUP($G5,'Baumaterialien Matériaux'!$A:$A,'Baumaterialien Matériaux'!V:V,0,0)</f>
        <v>66.105000000000004</v>
      </c>
      <c r="L5" s="539">
        <f>$H5*_xlfn.XLOOKUP($G5,'Baumaterialien Matériaux'!$A:$A,'Baumaterialien Matériaux'!Y:Y,0,0)</f>
        <v>0.98475000000000001</v>
      </c>
      <c r="M5" s="539">
        <f>$H5*_xlfn.XLOOKUP($G5,'Baumaterialien Matériaux'!$A:$A,'Baumaterialien Matériaux'!AA:AA,0,0)</f>
        <v>15.073500000000001</v>
      </c>
      <c r="N5" s="539">
        <f>$H5*_xlfn.XLOOKUP($G5,'Baumaterialien Matériaux'!$A:$A,'Baumaterialien Matériaux'!AB:AB,0,0)</f>
        <v>0.23790000000000003</v>
      </c>
      <c r="O5" s="539">
        <f>$H5*_xlfn.XLOOKUP($G5,'Baumaterialien Matériaux'!$A:$A,'Baumaterialien Matériaux'!AC:AC,0,0)*44/12</f>
        <v>0</v>
      </c>
      <c r="P5" s="539">
        <f>$H5*_xlfn.XLOOKUP($G5,'Baumaterialien Matériaux'!$A:$A,'Baumaterialien Matériaux'!AG:AG,0,0)</f>
        <v>0</v>
      </c>
      <c r="Q5" s="539">
        <f>$H5*_xlfn.XLOOKUP($G5,'Baumaterialien Matériaux'!$A:$A,'Baumaterialien Matériaux'!AH:AH,0,0)</f>
        <v>0</v>
      </c>
      <c r="V5" s="1785">
        <f t="shared" ref="V5:V68" si="0">IFERROR(E5/U5,0)</f>
        <v>0</v>
      </c>
    </row>
    <row r="6" spans="1:86" s="540" customFormat="1">
      <c r="B6" s="1934"/>
      <c r="C6" s="538" t="s">
        <v>615</v>
      </c>
      <c r="D6" s="538" t="str">
        <f>VLOOKUP(G6,'Baumaterialien Matériaux'!$A$10:$AD$432,30,FALSE)</f>
        <v>Bois massif 3 et 5 plis</v>
      </c>
      <c r="E6" s="1785">
        <v>2.5</v>
      </c>
      <c r="F6" s="538" t="str">
        <f>VLOOKUP(G6,'Baumaterialien Matériaux'!$A$10:$AD$432,7,FALSE)</f>
        <v>kg</v>
      </c>
      <c r="G6" s="546" t="s">
        <v>590</v>
      </c>
      <c r="H6" s="539">
        <f>2/5*0.025*470</f>
        <v>4.7000000000000011</v>
      </c>
      <c r="I6" s="539"/>
      <c r="J6" s="538">
        <v>60</v>
      </c>
      <c r="K6" s="539">
        <f>$H6*_xlfn.XLOOKUP($G6,'Baumaterialien Matériaux'!$A:$A,'Baumaterialien Matériaux'!V:V,0,0)</f>
        <v>9.8230000000000022</v>
      </c>
      <c r="L6" s="539">
        <f>$H6*_xlfn.XLOOKUP($G6,'Baumaterialien Matériaux'!$A:$A,'Baumaterialien Matériaux'!Y:Y,0,0)</f>
        <v>0.43381000000000008</v>
      </c>
      <c r="M6" s="539">
        <f>$H6*_xlfn.XLOOKUP($G6,'Baumaterialien Matériaux'!$A:$A,'Baumaterialien Matériaux'!AA:AA,0,0)</f>
        <v>1.9458000000000004</v>
      </c>
      <c r="N6" s="539">
        <f>$H6*_xlfn.XLOOKUP($G6,'Baumaterialien Matériaux'!$A:$A,'Baumaterialien Matériaux'!AB:AB,0,0)</f>
        <v>0.25991000000000009</v>
      </c>
      <c r="O6" s="539">
        <f>$H6*_xlfn.XLOOKUP($G6,'Baumaterialien Matériaux'!$A:$A,'Baumaterialien Matériaux'!AC:AC,0,0)*44/12</f>
        <v>7.4620333333333342</v>
      </c>
      <c r="P6" s="539">
        <f>$H6*_xlfn.XLOOKUP($G6,'Baumaterialien Matériaux'!$A:$A,'Baumaterialien Matériaux'!AG:AG,0,0)</f>
        <v>0</v>
      </c>
      <c r="Q6" s="539">
        <f>$H6*_xlfn.XLOOKUP($G6,'Baumaterialien Matériaux'!$A:$A,'Baumaterialien Matériaux'!AH:AH,0,0)</f>
        <v>0</v>
      </c>
      <c r="U6" s="540">
        <v>0.2</v>
      </c>
      <c r="V6" s="1785">
        <f t="shared" si="0"/>
        <v>12.5</v>
      </c>
    </row>
    <row r="7" spans="1:86" s="577" customFormat="1" ht="15" thickBot="1">
      <c r="B7" s="588"/>
      <c r="C7" s="580"/>
      <c r="G7" s="579"/>
      <c r="J7" s="580"/>
      <c r="K7" s="836">
        <f t="shared" ref="K7:L7" si="1">SUM(K4:K6)</f>
        <v>131.80525477707008</v>
      </c>
      <c r="L7" s="836">
        <f t="shared" si="1"/>
        <v>24.723463821656054</v>
      </c>
      <c r="M7" s="836">
        <f t="shared" ref="M7:O7" si="2">SUM(M4:M6)</f>
        <v>57.314523566878989</v>
      </c>
      <c r="N7" s="836">
        <f t="shared" si="2"/>
        <v>6.2218214649681531</v>
      </c>
      <c r="O7" s="836">
        <f t="shared" si="2"/>
        <v>7.4620333333333342</v>
      </c>
      <c r="P7" s="836">
        <f t="shared" ref="P7:Q7" si="3">SUM(P4:P6)</f>
        <v>0</v>
      </c>
      <c r="Q7" s="836">
        <f t="shared" si="3"/>
        <v>0</v>
      </c>
      <c r="R7" s="540"/>
      <c r="S7" s="540">
        <f>(M7+N7)/J6</f>
        <v>1.0589390838641191</v>
      </c>
      <c r="T7" s="540">
        <v>1.23</v>
      </c>
      <c r="U7" s="540"/>
      <c r="V7" s="1785">
        <f t="shared" si="0"/>
        <v>0</v>
      </c>
      <c r="W7" s="540"/>
      <c r="X7" s="540"/>
      <c r="Y7" s="540"/>
      <c r="Z7" s="540"/>
      <c r="AA7" s="540"/>
      <c r="AB7" s="540"/>
      <c r="AC7" s="540"/>
      <c r="AD7" s="540"/>
      <c r="AE7" s="540"/>
      <c r="AF7" s="540"/>
      <c r="AG7" s="540"/>
      <c r="AH7" s="540"/>
      <c r="AI7" s="540"/>
      <c r="AJ7" s="540"/>
      <c r="AK7" s="540"/>
      <c r="AL7" s="540"/>
      <c r="AM7" s="540"/>
      <c r="AN7" s="540"/>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c r="CA7" s="540"/>
      <c r="CB7" s="540"/>
      <c r="CC7" s="540"/>
      <c r="CD7" s="540"/>
      <c r="CE7" s="540"/>
      <c r="CF7" s="540"/>
      <c r="CG7" s="540"/>
      <c r="CH7" s="540"/>
    </row>
    <row r="8" spans="1:86" ht="15" thickTop="1">
      <c r="K8" s="126">
        <f>$H8*_xlfn.XLOOKUP($G8,'Baumaterialien Matériaux'!$A:$A,'Baumaterialien Matériaux'!V:V,0,0)</f>
        <v>0</v>
      </c>
      <c r="L8" s="126">
        <f>$H8*_xlfn.XLOOKUP($G8,'Baumaterialien Matériaux'!$A:$A,'Baumaterialien Matériaux'!Y:Y,0,0)</f>
        <v>0</v>
      </c>
      <c r="M8" s="126">
        <f>$H8*_xlfn.XLOOKUP($G8,'Baumaterialien Matériaux'!$A:$A,'Baumaterialien Matériaux'!AA:AA,0,0)</f>
        <v>0</v>
      </c>
      <c r="N8" s="126">
        <f>$H8*_xlfn.XLOOKUP($G8,'Baumaterialien Matériaux'!$A:$A,'Baumaterialien Matériaux'!AB:AB,0,0)</f>
        <v>0</v>
      </c>
      <c r="O8" s="126">
        <f>$H8*_xlfn.XLOOKUP($G8,'Baumaterialien Matériaux'!$A:$A,'Baumaterialien Matériaux'!AC:AC,0,0)*44/12</f>
        <v>0</v>
      </c>
      <c r="P8" s="126">
        <f>$H8*_xlfn.XLOOKUP($G8,'Baumaterialien Matériaux'!$A:$A,'Baumaterialien Matériaux'!AG:AG,0,0)</f>
        <v>0</v>
      </c>
      <c r="Q8" s="126">
        <f>$H8*_xlfn.XLOOKUP($G8,'Baumaterialien Matériaux'!$A:$A,'Baumaterialien Matériaux'!AH:AH,0,0)</f>
        <v>0</v>
      </c>
      <c r="S8" s="540"/>
      <c r="V8" s="1785">
        <f t="shared" si="0"/>
        <v>0</v>
      </c>
    </row>
    <row r="9" spans="1:86" s="557" customFormat="1">
      <c r="A9" s="1056" t="s">
        <v>616</v>
      </c>
      <c r="B9" s="555" t="s">
        <v>617</v>
      </c>
      <c r="C9" s="538" t="s">
        <v>618</v>
      </c>
      <c r="D9" s="538" t="str">
        <f>VLOOKUP(G9,'Baumaterialien Matériaux'!$A$10:$AD$432,30,FALSE)</f>
        <v>Bois massif épicéa / sapin / mélèze, séché à l'air, brut</v>
      </c>
      <c r="E9" s="1785">
        <v>10</v>
      </c>
      <c r="F9" s="538" t="str">
        <f>VLOOKUP(G9,'Baumaterialien Matériaux'!$A$10:$AD$432,7,FALSE)</f>
        <v>kg</v>
      </c>
      <c r="G9" s="546" t="s">
        <v>619</v>
      </c>
      <c r="H9" s="539">
        <f>0.1*485</f>
        <v>48.5</v>
      </c>
      <c r="I9" s="538"/>
      <c r="J9" s="538">
        <v>60</v>
      </c>
      <c r="K9" s="539">
        <f>$H9*_xlfn.XLOOKUP($G9,'Baumaterialien Matériaux'!$A:$A,'Baumaterialien Matériaux'!V:V,0,0)</f>
        <v>20.418499999999998</v>
      </c>
      <c r="L9" s="539">
        <f>$H9*_xlfn.XLOOKUP($G9,'Baumaterialien Matériaux'!$A:$A,'Baumaterialien Matériaux'!Y:Y,0,0)</f>
        <v>4.3068</v>
      </c>
      <c r="M9" s="539">
        <f>$H9*_xlfn.XLOOKUP($G9,'Baumaterialien Matériaux'!$A:$A,'Baumaterialien Matériaux'!AA:AA,0,0)</f>
        <v>4.3843999999999994</v>
      </c>
      <c r="N9" s="539">
        <f>$H9*_xlfn.XLOOKUP($G9,'Baumaterialien Matériaux'!$A:$A,'Baumaterialien Matériaux'!AB:AB,0,0)</f>
        <v>1.8915</v>
      </c>
      <c r="O9" s="539">
        <f>$H9*_xlfn.XLOOKUP($G9,'Baumaterialien Matériaux'!$A:$A,'Baumaterialien Matériaux'!AC:AC,0,0)*44/12</f>
        <v>73.445166666666665</v>
      </c>
      <c r="P9" s="539">
        <f>$H9*_xlfn.XLOOKUP($G9,'Baumaterialien Matériaux'!$A:$A,'Baumaterialien Matériaux'!AG:AG,0,0)</f>
        <v>0</v>
      </c>
      <c r="Q9" s="539">
        <f>$H9*_xlfn.XLOOKUP($G9,'Baumaterialien Matériaux'!$A:$A,'Baumaterialien Matériaux'!AH:AH,0,0)</f>
        <v>0</v>
      </c>
      <c r="R9" s="540"/>
      <c r="S9" s="540"/>
      <c r="T9" s="540"/>
      <c r="U9" s="540">
        <v>0.13</v>
      </c>
      <c r="V9" s="1785">
        <f t="shared" si="0"/>
        <v>76.92307692307692</v>
      </c>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c r="CA9" s="540"/>
      <c r="CB9" s="540"/>
      <c r="CC9" s="540"/>
      <c r="CD9" s="540"/>
      <c r="CE9" s="540"/>
      <c r="CF9" s="540"/>
      <c r="CG9" s="540"/>
      <c r="CH9" s="540"/>
    </row>
    <row r="10" spans="1:86" s="577" customFormat="1" ht="15" thickBot="1">
      <c r="A10" s="578"/>
      <c r="B10" s="578"/>
      <c r="G10" s="579"/>
      <c r="J10" s="580"/>
      <c r="K10" s="836">
        <f t="shared" ref="K10:L10" si="4">SUM(K9:K9)</f>
        <v>20.418499999999998</v>
      </c>
      <c r="L10" s="836">
        <f t="shared" si="4"/>
        <v>4.3068</v>
      </c>
      <c r="M10" s="836">
        <f t="shared" ref="M10:O10" si="5">SUM(M9:M9)</f>
        <v>4.3843999999999994</v>
      </c>
      <c r="N10" s="836">
        <f t="shared" si="5"/>
        <v>1.8915</v>
      </c>
      <c r="O10" s="836">
        <f t="shared" si="5"/>
        <v>73.445166666666665</v>
      </c>
      <c r="P10" s="836">
        <f t="shared" ref="P10:Q10" si="6">SUM(P9:P9)</f>
        <v>0</v>
      </c>
      <c r="Q10" s="836">
        <f t="shared" si="6"/>
        <v>0</v>
      </c>
      <c r="R10" s="540"/>
      <c r="S10" s="540">
        <f>(M10+N10)/J9</f>
        <v>0.10459833333333332</v>
      </c>
      <c r="T10" s="540">
        <v>0.27</v>
      </c>
      <c r="U10" s="540"/>
      <c r="V10" s="1785">
        <f t="shared" si="0"/>
        <v>0</v>
      </c>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c r="CA10" s="540"/>
      <c r="CB10" s="540"/>
      <c r="CC10" s="540"/>
      <c r="CD10" s="540"/>
      <c r="CE10" s="540"/>
      <c r="CF10" s="540"/>
      <c r="CG10" s="540"/>
      <c r="CH10" s="540"/>
    </row>
    <row r="11" spans="1:86" ht="15.75" customHeight="1" thickTop="1">
      <c r="K11" s="126"/>
      <c r="L11" s="126"/>
      <c r="M11" s="126"/>
      <c r="N11" s="126"/>
      <c r="O11" s="126"/>
      <c r="P11" s="126"/>
      <c r="Q11" s="126"/>
      <c r="V11" s="1785">
        <f t="shared" si="0"/>
        <v>0</v>
      </c>
    </row>
    <row r="12" spans="1:86" s="149" customFormat="1">
      <c r="A12" s="1096" t="s">
        <v>620</v>
      </c>
      <c r="B12" s="1935" t="s">
        <v>621</v>
      </c>
      <c r="C12" s="166" t="s">
        <v>622</v>
      </c>
      <c r="D12" s="166" t="str">
        <f>VLOOKUP(G12,'Baumaterialien Matériaux'!$A$10:$AD$432,30,FALSE)</f>
        <v>Brique en terre cuite</v>
      </c>
      <c r="E12" s="1403">
        <v>30</v>
      </c>
      <c r="F12" s="166" t="str">
        <f>VLOOKUP(G12,'Baumaterialien Matériaux'!$A$10:$AD$432,7,FALSE)</f>
        <v>kg</v>
      </c>
      <c r="G12" s="279" t="s">
        <v>623</v>
      </c>
      <c r="H12" s="167">
        <f>16.7*10.7</f>
        <v>178.68999999999997</v>
      </c>
      <c r="I12" s="166"/>
      <c r="J12" s="166">
        <v>60</v>
      </c>
      <c r="K12" s="167">
        <f>$H12*_xlfn.XLOOKUP($G12,'Baumaterialien Matériaux'!$A:$A,'Baumaterialien Matériaux'!V:V,0,0)</f>
        <v>131.15845999999996</v>
      </c>
      <c r="L12" s="167">
        <f>$H12*_xlfn.XLOOKUP($G12,'Baumaterialien Matériaux'!$A:$A,'Baumaterialien Matériaux'!Y:Y,0,0)</f>
        <v>9.3990939999999981</v>
      </c>
      <c r="M12" s="167">
        <f>$H12*_xlfn.XLOOKUP($G12,'Baumaterialien Matériaux'!$A:$A,'Baumaterialien Matériaux'!AA:AA,0,0)</f>
        <v>45.387259999999991</v>
      </c>
      <c r="N12" s="167">
        <f>$H12*_xlfn.XLOOKUP($G12,'Baumaterialien Matériaux'!$A:$A,'Baumaterialien Matériaux'!AB:AB,0,0)</f>
        <v>2.2693629999999994</v>
      </c>
      <c r="O12" s="167">
        <f>$H12*_xlfn.XLOOKUP($G12,'Baumaterialien Matériaux'!$A:$A,'Baumaterialien Matériaux'!AC:AC,0,0)*44/12</f>
        <v>0</v>
      </c>
      <c r="P12" s="167">
        <f>$H12*_xlfn.XLOOKUP($G12,'Baumaterialien Matériaux'!$A:$A,'Baumaterialien Matériaux'!AG:AG,0,0)</f>
        <v>0</v>
      </c>
      <c r="Q12" s="167">
        <f>$H12*_xlfn.XLOOKUP($G12,'Baumaterialien Matériaux'!$A:$A,'Baumaterialien Matériaux'!AH:AH,0,0)</f>
        <v>0</v>
      </c>
      <c r="R12" s="3"/>
      <c r="S12" s="3"/>
      <c r="T12" s="3"/>
      <c r="U12" s="3"/>
      <c r="V12" s="1785">
        <f t="shared" si="0"/>
        <v>0</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row>
    <row r="13" spans="1:86">
      <c r="A13" s="159"/>
      <c r="B13" s="1935"/>
      <c r="C13" s="166" t="s">
        <v>624</v>
      </c>
      <c r="D13" s="166" t="str">
        <f>VLOOKUP(G13,'Baumaterialien Matériaux'!$A$10:$AD$432,30,FALSE)</f>
        <v>Enduit de ciment</v>
      </c>
      <c r="E13" s="1403"/>
      <c r="F13" s="166" t="str">
        <f>VLOOKUP(G13,'Baumaterialien Matériaux'!$A$10:$AD$432,7,FALSE)</f>
        <v>kg</v>
      </c>
      <c r="G13" s="506" t="s">
        <v>625</v>
      </c>
      <c r="H13" s="167">
        <f>41*1.6</f>
        <v>65.600000000000009</v>
      </c>
      <c r="I13" s="166"/>
      <c r="J13" s="166">
        <v>60</v>
      </c>
      <c r="K13" s="167">
        <f>$H13*_xlfn.XLOOKUP($G13,'Baumaterialien Matériaux'!$A:$A,'Baumaterialien Matériaux'!V:V,0,0)</f>
        <v>39.491200000000006</v>
      </c>
      <c r="L13" s="167">
        <f>$H13*_xlfn.XLOOKUP($G13,'Baumaterialien Matériaux'!$A:$A,'Baumaterialien Matériaux'!Y:Y,0,0)</f>
        <v>3.4374400000000005</v>
      </c>
      <c r="M13" s="167">
        <f>$H13*_xlfn.XLOOKUP($G13,'Baumaterialien Matériaux'!$A:$A,'Baumaterialien Matériaux'!AA:AA,0,0)</f>
        <v>16.268800000000002</v>
      </c>
      <c r="N13" s="167">
        <f>$H13*_xlfn.XLOOKUP($G13,'Baumaterialien Matériaux'!$A:$A,'Baumaterialien Matériaux'!AB:AB,0,0)</f>
        <v>0.83312000000000008</v>
      </c>
      <c r="O13" s="167">
        <f>$H13*_xlfn.XLOOKUP($G13,'Baumaterialien Matériaux'!$A:$A,'Baumaterialien Matériaux'!AC:AC,0,0)*44/12</f>
        <v>0</v>
      </c>
      <c r="P13" s="167">
        <f>$H13*_xlfn.XLOOKUP($G13,'Baumaterialien Matériaux'!$A:$A,'Baumaterialien Matériaux'!AG:AG,0,0)</f>
        <v>0</v>
      </c>
      <c r="Q13" s="167">
        <f>$H13*_xlfn.XLOOKUP($G13,'Baumaterialien Matériaux'!$A:$A,'Baumaterialien Matériaux'!AH:AH,0,0)</f>
        <v>0</v>
      </c>
      <c r="V13" s="1785">
        <f t="shared" si="0"/>
        <v>0</v>
      </c>
    </row>
    <row r="14" spans="1:86" s="572" customFormat="1" ht="15" thickBot="1">
      <c r="A14" s="583"/>
      <c r="B14" s="576"/>
      <c r="G14" s="573"/>
      <c r="J14" s="575"/>
      <c r="K14" s="837">
        <f t="shared" ref="K14:L14" si="7">SUM(K12:K13)</f>
        <v>170.64965999999998</v>
      </c>
      <c r="L14" s="837">
        <f t="shared" si="7"/>
        <v>12.836533999999999</v>
      </c>
      <c r="M14" s="837">
        <f t="shared" ref="M14:O14" si="8">SUM(M12:M13)</f>
        <v>61.656059999999997</v>
      </c>
      <c r="N14" s="837">
        <f t="shared" si="8"/>
        <v>3.1024829999999994</v>
      </c>
      <c r="O14" s="837">
        <f t="shared" si="8"/>
        <v>0</v>
      </c>
      <c r="P14" s="837">
        <f t="shared" ref="P14:Q14" si="9">SUM(P12:P13)</f>
        <v>0</v>
      </c>
      <c r="Q14" s="837">
        <f t="shared" si="9"/>
        <v>0</v>
      </c>
      <c r="R14" s="3"/>
      <c r="S14" s="540">
        <f>(M14+N14)/J13</f>
        <v>1.07930905</v>
      </c>
      <c r="T14" s="3">
        <v>1.0900000000000001</v>
      </c>
      <c r="U14" s="3"/>
      <c r="V14" s="1785">
        <f t="shared" si="0"/>
        <v>0</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row>
    <row r="15" spans="1:86" ht="15" thickTop="1">
      <c r="K15" s="126"/>
      <c r="L15" s="126"/>
      <c r="M15" s="126"/>
      <c r="N15" s="126"/>
      <c r="O15" s="126"/>
      <c r="P15" s="126"/>
      <c r="Q15" s="126"/>
      <c r="V15" s="1785">
        <f t="shared" si="0"/>
        <v>0</v>
      </c>
    </row>
    <row r="16" spans="1:86" s="149" customFormat="1">
      <c r="A16" s="1096" t="s">
        <v>626</v>
      </c>
      <c r="B16" s="1935" t="s">
        <v>627</v>
      </c>
      <c r="C16" s="166" t="s">
        <v>622</v>
      </c>
      <c r="D16" s="166" t="str">
        <f>VLOOKUP(G16,'Baumaterialien Matériaux'!$A$10:$AD$432,30,FALSE)</f>
        <v>Brique en terre cuite</v>
      </c>
      <c r="E16" s="1403">
        <v>15</v>
      </c>
      <c r="F16" s="166" t="str">
        <f>VLOOKUP(G16,'Baumaterialien Matériaux'!$A$10:$AD$432,7,FALSE)</f>
        <v>kg</v>
      </c>
      <c r="G16" s="279" t="s">
        <v>623</v>
      </c>
      <c r="H16" s="167">
        <f>16.7*7.1</f>
        <v>118.57</v>
      </c>
      <c r="I16" s="166"/>
      <c r="J16" s="166">
        <v>60</v>
      </c>
      <c r="K16" s="167">
        <f>$H16*_xlfn.XLOOKUP($G16,'Baumaterialien Matériaux'!$A:$A,'Baumaterialien Matériaux'!V:V,0,0)</f>
        <v>87.030379999999994</v>
      </c>
      <c r="L16" s="167">
        <f>$H16*_xlfn.XLOOKUP($G16,'Baumaterialien Matériaux'!$A:$A,'Baumaterialien Matériaux'!Y:Y,0,0)</f>
        <v>6.2367819999999998</v>
      </c>
      <c r="M16" s="167">
        <f>$H16*_xlfn.XLOOKUP($G16,'Baumaterialien Matériaux'!$A:$A,'Baumaterialien Matériaux'!AA:AA,0,0)</f>
        <v>30.116779999999999</v>
      </c>
      <c r="N16" s="167">
        <f>$H16*_xlfn.XLOOKUP($G16,'Baumaterialien Matériaux'!$A:$A,'Baumaterialien Matériaux'!AB:AB,0,0)</f>
        <v>1.5058389999999999</v>
      </c>
      <c r="O16" s="167">
        <f>$H16*_xlfn.XLOOKUP($G16,'Baumaterialien Matériaux'!$A:$A,'Baumaterialien Matériaux'!AC:AC,0,0)*44/12</f>
        <v>0</v>
      </c>
      <c r="P16" s="167">
        <f>$H16*_xlfn.XLOOKUP($G16,'Baumaterialien Matériaux'!$A:$A,'Baumaterialien Matériaux'!AG:AG,0,0)</f>
        <v>0</v>
      </c>
      <c r="Q16" s="167">
        <f>$H16*_xlfn.XLOOKUP($G16,'Baumaterialien Matériaux'!$A:$A,'Baumaterialien Matériaux'!AH:AH,0,0)</f>
        <v>0</v>
      </c>
      <c r="R16" s="3"/>
      <c r="S16" s="3"/>
      <c r="T16" s="3"/>
      <c r="U16" s="3"/>
      <c r="V16" s="1785">
        <f t="shared" si="0"/>
        <v>0</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row>
    <row r="17" spans="1:86">
      <c r="A17" s="159"/>
      <c r="B17" s="1935"/>
      <c r="C17" s="166" t="s">
        <v>624</v>
      </c>
      <c r="D17" s="166" t="str">
        <f>VLOOKUP(G17,'Baumaterialien Matériaux'!$A$10:$AD$432,30,FALSE)</f>
        <v>Enduit de ciment</v>
      </c>
      <c r="E17" s="1403"/>
      <c r="F17" s="166" t="str">
        <f>VLOOKUP(G17,'Baumaterialien Matériaux'!$A$10:$AD$432,7,FALSE)</f>
        <v>kg</v>
      </c>
      <c r="G17" s="506" t="s">
        <v>625</v>
      </c>
      <c r="H17" s="167">
        <f>41*1.6</f>
        <v>65.600000000000009</v>
      </c>
      <c r="I17" s="166"/>
      <c r="J17" s="166">
        <v>60</v>
      </c>
      <c r="K17" s="167">
        <f>$H17*_xlfn.XLOOKUP($G17,'Baumaterialien Matériaux'!$A:$A,'Baumaterialien Matériaux'!V:V,0,0)</f>
        <v>39.491200000000006</v>
      </c>
      <c r="L17" s="167">
        <f>$H17*_xlfn.XLOOKUP($G17,'Baumaterialien Matériaux'!$A:$A,'Baumaterialien Matériaux'!Y:Y,0,0)</f>
        <v>3.4374400000000005</v>
      </c>
      <c r="M17" s="167">
        <f>$H17*_xlfn.XLOOKUP($G17,'Baumaterialien Matériaux'!$A:$A,'Baumaterialien Matériaux'!AA:AA,0,0)</f>
        <v>16.268800000000002</v>
      </c>
      <c r="N17" s="167">
        <f>$H17*_xlfn.XLOOKUP($G17,'Baumaterialien Matériaux'!$A:$A,'Baumaterialien Matériaux'!AB:AB,0,0)</f>
        <v>0.83312000000000008</v>
      </c>
      <c r="O17" s="167">
        <f>$H17*_xlfn.XLOOKUP($G17,'Baumaterialien Matériaux'!$A:$A,'Baumaterialien Matériaux'!AC:AC,0,0)*44/12</f>
        <v>0</v>
      </c>
      <c r="P17" s="167">
        <f>$H17*_xlfn.XLOOKUP($G17,'Baumaterialien Matériaux'!$A:$A,'Baumaterialien Matériaux'!AG:AG,0,0)</f>
        <v>0</v>
      </c>
      <c r="Q17" s="167">
        <f>$H17*_xlfn.XLOOKUP($G17,'Baumaterialien Matériaux'!$A:$A,'Baumaterialien Matériaux'!AH:AH,0,0)</f>
        <v>0</v>
      </c>
      <c r="V17" s="1785">
        <f t="shared" si="0"/>
        <v>0</v>
      </c>
    </row>
    <row r="18" spans="1:86" s="572" customFormat="1" ht="15" thickBot="1">
      <c r="A18" s="583"/>
      <c r="B18" s="576"/>
      <c r="G18" s="573"/>
      <c r="J18" s="575"/>
      <c r="K18" s="837">
        <f t="shared" ref="K18:L18" si="10">SUM(K16:K17)</f>
        <v>126.52158</v>
      </c>
      <c r="L18" s="837">
        <f t="shared" si="10"/>
        <v>9.6742220000000003</v>
      </c>
      <c r="M18" s="837">
        <f t="shared" ref="M18:Q18" si="11">SUM(M16:M17)</f>
        <v>46.385580000000004</v>
      </c>
      <c r="N18" s="837">
        <f t="shared" si="11"/>
        <v>2.338959</v>
      </c>
      <c r="O18" s="837">
        <f t="shared" si="11"/>
        <v>0</v>
      </c>
      <c r="P18" s="837">
        <f t="shared" si="11"/>
        <v>0</v>
      </c>
      <c r="Q18" s="837">
        <f t="shared" si="11"/>
        <v>0</v>
      </c>
      <c r="R18" s="3"/>
      <c r="S18" s="540">
        <f>(M18+N18)/J17</f>
        <v>0.81207565000000015</v>
      </c>
      <c r="T18" s="3"/>
      <c r="U18" s="3"/>
      <c r="V18" s="1785">
        <f t="shared" si="0"/>
        <v>0</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row>
    <row r="19" spans="1:86" ht="15" thickTop="1">
      <c r="A19" s="159"/>
      <c r="B19" s="521"/>
      <c r="C19" s="166"/>
      <c r="F19" s="972"/>
      <c r="G19" s="166"/>
      <c r="H19" s="167"/>
      <c r="I19" s="167"/>
      <c r="J19" s="167"/>
      <c r="K19" s="166"/>
      <c r="L19" s="166"/>
      <c r="M19" s="166"/>
      <c r="N19" s="852"/>
      <c r="O19" s="852"/>
      <c r="P19" s="976"/>
      <c r="Q19" s="977"/>
      <c r="R19" s="976"/>
      <c r="S19" s="976"/>
      <c r="T19" s="976"/>
      <c r="U19" s="1787"/>
      <c r="V19" s="1785">
        <f t="shared" si="0"/>
        <v>0</v>
      </c>
      <c r="W19" s="1787"/>
      <c r="X19" s="1787"/>
      <c r="Y19" s="1787"/>
      <c r="Z19" s="1787"/>
      <c r="AA19" s="852"/>
    </row>
    <row r="20" spans="1:86" s="166" customFormat="1" ht="13.9" customHeight="1">
      <c r="A20" s="650" t="s">
        <v>628</v>
      </c>
      <c r="B20" s="1907" t="s">
        <v>629</v>
      </c>
      <c r="C20" s="166" t="s">
        <v>630</v>
      </c>
      <c r="D20" s="166" t="str">
        <f>VLOOKUP(G20,'Baumaterialien Matériaux'!$A$10:$AD$432,30,FALSE)</f>
        <v>Perlite expansée</v>
      </c>
      <c r="E20" s="1403">
        <v>49</v>
      </c>
      <c r="F20" s="166" t="str">
        <f>VLOOKUP(G20,'Baumaterialien Matériaux'!$A$10:$AD$432,7,FALSE)</f>
        <v>kg</v>
      </c>
      <c r="G20" s="279" t="s">
        <v>631</v>
      </c>
      <c r="H20" s="166">
        <f>0.49*0.78*100</f>
        <v>38.22</v>
      </c>
      <c r="J20" s="166">
        <v>60</v>
      </c>
      <c r="K20" s="167">
        <f>$H20*_xlfn.XLOOKUP($G20,'Baumaterialien Matériaux'!$A:$A,'Baumaterialien Matériaux'!V:V,0,0)</f>
        <v>168.16800000000001</v>
      </c>
      <c r="L20" s="167">
        <f>$H20*_xlfn.XLOOKUP($G20,'Baumaterialien Matériaux'!$A:$A,'Baumaterialien Matériaux'!Y:Y,0,0)</f>
        <v>2.0103719999999998</v>
      </c>
      <c r="M20" s="167">
        <f>$H20*_xlfn.XLOOKUP($G20,'Baumaterialien Matériaux'!$A:$A,'Baumaterialien Matériaux'!AA:AA,0,0)</f>
        <v>39.748800000000003</v>
      </c>
      <c r="N20" s="167">
        <f>$H20*_xlfn.XLOOKUP($G20,'Baumaterialien Matériaux'!$A:$A,'Baumaterialien Matériaux'!AB:AB,0,0)</f>
        <v>0.48539399999999999</v>
      </c>
      <c r="O20" s="167">
        <f>$H20*_xlfn.XLOOKUP($G20,'Baumaterialien Matériaux'!$A:$A,'Baumaterialien Matériaux'!AC:AC,0,0)*44/12</f>
        <v>0</v>
      </c>
      <c r="P20" s="167">
        <f>$H20*_xlfn.XLOOKUP($G20,'Baumaterialien Matériaux'!$A:$A,'Baumaterialien Matériaux'!AG:AG,0,0)</f>
        <v>0</v>
      </c>
      <c r="Q20" s="167">
        <f>$H20*_xlfn.XLOOKUP($G20,'Baumaterialien Matériaux'!$A:$A,'Baumaterialien Matériaux'!AH:AH,0,0)</f>
        <v>0</v>
      </c>
      <c r="R20" s="3"/>
      <c r="S20" s="3"/>
      <c r="T20" s="3"/>
      <c r="U20" s="3">
        <v>3.5</v>
      </c>
      <c r="V20" s="1785">
        <f t="shared" si="0"/>
        <v>14</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row>
    <row r="21" spans="1:86" s="166" customFormat="1">
      <c r="A21" s="584"/>
      <c r="B21" s="1907"/>
      <c r="C21" s="166" t="s">
        <v>622</v>
      </c>
      <c r="D21" s="166" t="str">
        <f>VLOOKUP(G21,'Baumaterialien Matériaux'!$A$10:$AD$432,30,FALSE)</f>
        <v>Brique en terre cuite</v>
      </c>
      <c r="E21" s="1403">
        <v>49</v>
      </c>
      <c r="F21" s="166" t="str">
        <f>VLOOKUP(G21,'Baumaterialien Matériaux'!$A$10:$AD$432,7,FALSE)</f>
        <v>kg</v>
      </c>
      <c r="G21" s="279" t="s">
        <v>623</v>
      </c>
      <c r="H21" s="166">
        <f>16*18.4-H20</f>
        <v>256.17999999999995</v>
      </c>
      <c r="J21" s="166">
        <v>60</v>
      </c>
      <c r="K21" s="167">
        <f>$H21*_xlfn.XLOOKUP($G21,'Baumaterialien Matériaux'!$A:$A,'Baumaterialien Matériaux'!V:V,0,0)</f>
        <v>188.03611999999995</v>
      </c>
      <c r="L21" s="167">
        <f>$H21*_xlfn.XLOOKUP($G21,'Baumaterialien Matériaux'!$A:$A,'Baumaterialien Matériaux'!Y:Y,0,0)</f>
        <v>13.475067999999998</v>
      </c>
      <c r="M21" s="167">
        <f>$H21*_xlfn.XLOOKUP($G21,'Baumaterialien Matériaux'!$A:$A,'Baumaterialien Matériaux'!AA:AA,0,0)</f>
        <v>65.06971999999999</v>
      </c>
      <c r="N21" s="167">
        <f>$H21*_xlfn.XLOOKUP($G21,'Baumaterialien Matériaux'!$A:$A,'Baumaterialien Matériaux'!AB:AB,0,0)</f>
        <v>3.2534859999999992</v>
      </c>
      <c r="O21" s="167">
        <f>$H21*_xlfn.XLOOKUP($G21,'Baumaterialien Matériaux'!$A:$A,'Baumaterialien Matériaux'!AC:AC,0,0)*44/12</f>
        <v>0</v>
      </c>
      <c r="P21" s="167">
        <f>$H21*_xlfn.XLOOKUP($G21,'Baumaterialien Matériaux'!$A:$A,'Baumaterialien Matériaux'!AG:AG,0,0)</f>
        <v>0</v>
      </c>
      <c r="Q21" s="167">
        <f>$H21*_xlfn.XLOOKUP($G21,'Baumaterialien Matériaux'!$A:$A,'Baumaterialien Matériaux'!AH:AH,0,0)</f>
        <v>0</v>
      </c>
      <c r="R21" s="3"/>
      <c r="S21" s="3"/>
      <c r="T21" s="3"/>
      <c r="U21" s="3"/>
      <c r="V21" s="1785">
        <f t="shared" si="0"/>
        <v>0</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row>
    <row r="22" spans="1:86" s="166" customFormat="1">
      <c r="A22" s="584"/>
      <c r="B22" s="1907"/>
      <c r="C22" s="166" t="s">
        <v>632</v>
      </c>
      <c r="D22" s="166" t="str">
        <f>VLOOKUP(G22,'Baumaterialien Matériaux'!$A$10:$AD$432,30,FALSE)</f>
        <v xml:space="preserve">Colle de construction/mortier d'enrobage minéral(e) </v>
      </c>
      <c r="E22" s="1403"/>
      <c r="F22" s="166" t="str">
        <f>VLOOKUP(G22,'Baumaterialien Matériaux'!$A$10:$AD$432,7,FALSE)</f>
        <v>kg</v>
      </c>
      <c r="G22" s="279" t="s">
        <v>633</v>
      </c>
      <c r="H22" s="166">
        <f>0.0051*700</f>
        <v>3.5700000000000003</v>
      </c>
      <c r="J22" s="166">
        <v>60</v>
      </c>
      <c r="K22" s="167">
        <f>$H22*_xlfn.XLOOKUP($G22,'Baumaterialien Matériaux'!$A:$A,'Baumaterialien Matériaux'!V:V,0,0)</f>
        <v>5.2479000000000005</v>
      </c>
      <c r="L22" s="167">
        <f>$H22*_xlfn.XLOOKUP($G22,'Baumaterialien Matériaux'!$A:$A,'Baumaterialien Matériaux'!Y:Y,0,0)</f>
        <v>0.18706800000000001</v>
      </c>
      <c r="M22" s="167">
        <f>$H22*_xlfn.XLOOKUP($G22,'Baumaterialien Matériaux'!$A:$A,'Baumaterialien Matériaux'!AA:AA,0,0)</f>
        <v>1.4030100000000001</v>
      </c>
      <c r="N22" s="167">
        <f>$H22*_xlfn.XLOOKUP($G22,'Baumaterialien Matériaux'!$A:$A,'Baumaterialien Matériaux'!AB:AB,0,0)</f>
        <v>4.5339000000000004E-2</v>
      </c>
      <c r="O22" s="167">
        <f>$H22*_xlfn.XLOOKUP($G22,'Baumaterialien Matériaux'!$A:$A,'Baumaterialien Matériaux'!AC:AC,0,0)*44/12</f>
        <v>0</v>
      </c>
      <c r="P22" s="167">
        <f>$H22*_xlfn.XLOOKUP($G22,'Baumaterialien Matériaux'!$A:$A,'Baumaterialien Matériaux'!AG:AG,0,0)</f>
        <v>0</v>
      </c>
      <c r="Q22" s="167">
        <f>$H22*_xlfn.XLOOKUP($G22,'Baumaterialien Matériaux'!$A:$A,'Baumaterialien Matériaux'!AH:AH,0,0)</f>
        <v>0</v>
      </c>
      <c r="R22" s="3"/>
      <c r="S22" s="3"/>
      <c r="T22" s="3"/>
      <c r="U22" s="3"/>
      <c r="V22" s="1785">
        <f t="shared" si="0"/>
        <v>0</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row>
    <row r="23" spans="1:86" s="572" customFormat="1" ht="16.5" thickBot="1">
      <c r="A23" s="646"/>
      <c r="B23" s="651"/>
      <c r="C23" s="646"/>
      <c r="D23" s="646"/>
      <c r="E23" s="646"/>
      <c r="F23" s="646"/>
      <c r="G23" s="647"/>
      <c r="H23" s="646"/>
      <c r="I23" s="646"/>
      <c r="J23" s="619"/>
      <c r="K23" s="838">
        <f t="shared" ref="K23:L23" si="12">SUM(K20:K22)</f>
        <v>361.45202</v>
      </c>
      <c r="L23" s="838">
        <f t="shared" si="12"/>
        <v>15.672507999999999</v>
      </c>
      <c r="M23" s="838">
        <f t="shared" ref="M23:O23" si="13">SUM(M20:M22)</f>
        <v>106.22152999999999</v>
      </c>
      <c r="N23" s="838">
        <f t="shared" si="13"/>
        <v>3.7842189999999989</v>
      </c>
      <c r="O23" s="838">
        <f t="shared" si="13"/>
        <v>0</v>
      </c>
      <c r="P23" s="838">
        <f t="shared" ref="P23" si="14">SUM(P20:P22)</f>
        <v>0</v>
      </c>
      <c r="Q23" s="838">
        <f t="shared" ref="Q23" si="15">SUM(Q20:Q22)</f>
        <v>0</v>
      </c>
      <c r="R23" s="3"/>
      <c r="S23" s="540">
        <f>(M23+N23)/J22</f>
        <v>1.8334291499999997</v>
      </c>
      <c r="T23" s="3">
        <v>1.98</v>
      </c>
      <c r="U23" s="3"/>
      <c r="V23" s="1785">
        <f t="shared" si="0"/>
        <v>0</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row>
    <row r="24" spans="1:86" ht="16.5" thickTop="1">
      <c r="A24"/>
      <c r="B24" s="973"/>
      <c r="C24"/>
      <c r="D24"/>
      <c r="E24"/>
      <c r="F24"/>
      <c r="G24" s="971"/>
      <c r="H24"/>
      <c r="I24"/>
      <c r="J24" s="974"/>
      <c r="K24" s="975"/>
      <c r="L24" s="975"/>
      <c r="M24" s="975"/>
      <c r="N24" s="975"/>
      <c r="O24" s="975"/>
      <c r="P24" s="975"/>
      <c r="Q24" s="975"/>
      <c r="V24" s="1785">
        <f t="shared" si="0"/>
        <v>0</v>
      </c>
    </row>
    <row r="25" spans="1:86" s="134" customFormat="1" ht="17.25">
      <c r="A25" s="132" t="s">
        <v>634</v>
      </c>
      <c r="B25" s="132" t="str">
        <f>'Outil détaillé'!D19</f>
        <v>Revetements extérieurs de facades</v>
      </c>
      <c r="C25" s="132"/>
      <c r="D25" s="132"/>
      <c r="E25" s="132"/>
      <c r="F25" s="132"/>
      <c r="G25" s="504"/>
      <c r="H25" s="132" t="s">
        <v>635</v>
      </c>
      <c r="I25" s="132"/>
      <c r="K25" s="804"/>
      <c r="L25" s="804"/>
      <c r="M25" s="804"/>
      <c r="N25" s="804"/>
      <c r="O25" s="804"/>
      <c r="P25" s="804"/>
      <c r="Q25" s="804"/>
      <c r="V25" s="1785">
        <f t="shared" si="0"/>
        <v>0</v>
      </c>
    </row>
    <row r="26" spans="1:86">
      <c r="K26" s="126"/>
      <c r="L26" s="126"/>
      <c r="M26" s="126"/>
      <c r="N26" s="126"/>
      <c r="O26" s="126"/>
      <c r="P26" s="126"/>
      <c r="Q26" s="126"/>
      <c r="V26" s="1785">
        <f t="shared" si="0"/>
        <v>0</v>
      </c>
    </row>
    <row r="27" spans="1:86" s="557" customFormat="1">
      <c r="A27" s="1096" t="s">
        <v>636</v>
      </c>
      <c r="B27" s="1934" t="s">
        <v>637</v>
      </c>
      <c r="C27" s="538" t="s">
        <v>638</v>
      </c>
      <c r="D27" s="538" t="str">
        <f>VLOOKUP(G27,'Baumaterialien Matériaux'!$A$10:$AD$432,30,FALSE)</f>
        <v xml:space="preserve">Colle de construction/mortier d'enrobage minéral(e) </v>
      </c>
      <c r="E27" s="1785"/>
      <c r="F27" s="538" t="str">
        <f>VLOOKUP(G27,'Baumaterialien Matériaux'!$A$10:$AD$432,7,FALSE)</f>
        <v>kg</v>
      </c>
      <c r="G27" s="546" t="s">
        <v>633</v>
      </c>
      <c r="H27" s="539">
        <v>5.5</v>
      </c>
      <c r="I27" s="538"/>
      <c r="J27" s="538">
        <v>30</v>
      </c>
      <c r="K27" s="539">
        <f>$H27*_xlfn.XLOOKUP($G27,'Baumaterialien Matériaux'!$A:$A,'Baumaterialien Matériaux'!V:V,0,0)</f>
        <v>8.0849999999999991</v>
      </c>
      <c r="L27" s="539">
        <f>$H27*_xlfn.XLOOKUP($G27,'Baumaterialien Matériaux'!$A:$A,'Baumaterialien Matériaux'!Y:Y,0,0)</f>
        <v>0.28820000000000001</v>
      </c>
      <c r="M27" s="539">
        <f>$H27*_xlfn.XLOOKUP($G27,'Baumaterialien Matériaux'!$A:$A,'Baumaterialien Matériaux'!AA:AA,0,0)</f>
        <v>2.1615000000000002</v>
      </c>
      <c r="N27" s="539">
        <f>$H27*_xlfn.XLOOKUP($G27,'Baumaterialien Matériaux'!$A:$A,'Baumaterialien Matériaux'!AB:AB,0,0)</f>
        <v>6.9849999999999995E-2</v>
      </c>
      <c r="O27" s="539">
        <f>$H27*_xlfn.XLOOKUP($G27,'Baumaterialien Matériaux'!$A:$A,'Baumaterialien Matériaux'!AC:AC,0,0)*44/12</f>
        <v>0</v>
      </c>
      <c r="P27" s="539">
        <f>$H27*_xlfn.XLOOKUP($G27,'Baumaterialien Matériaux'!$A:$A,'Baumaterialien Matériaux'!AG:AG,0,0)</f>
        <v>0</v>
      </c>
      <c r="Q27" s="539">
        <f>$H27*_xlfn.XLOOKUP($G27,'Baumaterialien Matériaux'!$A:$A,'Baumaterialien Matériaux'!AH:AH,0,0)</f>
        <v>0</v>
      </c>
      <c r="R27" s="540"/>
      <c r="S27" s="540"/>
      <c r="T27" s="540"/>
      <c r="U27" s="540"/>
      <c r="V27" s="1785">
        <f t="shared" si="0"/>
        <v>0</v>
      </c>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c r="BX27" s="540"/>
      <c r="BY27" s="540"/>
      <c r="BZ27" s="540"/>
      <c r="CA27" s="540"/>
      <c r="CB27" s="540"/>
      <c r="CC27" s="540"/>
      <c r="CD27" s="540"/>
      <c r="CE27" s="540"/>
      <c r="CF27" s="540"/>
      <c r="CG27" s="540"/>
      <c r="CH27" s="540"/>
    </row>
    <row r="28" spans="1:86" s="540" customFormat="1">
      <c r="B28" s="1934"/>
      <c r="C28" s="538" t="s">
        <v>639</v>
      </c>
      <c r="D28" s="538" t="str">
        <f>VLOOKUP(G28,'Baumaterialien Matériaux'!$A$10:$AD$432,30,FALSE)</f>
        <v xml:space="preserve">Polyamide (PA) renforcé par des fibres de verre </v>
      </c>
      <c r="E28" s="1785"/>
      <c r="F28" s="538" t="str">
        <f>VLOOKUP(G28,'Baumaterialien Matériaux'!$A$10:$AD$432,7,FALSE)</f>
        <v>kg</v>
      </c>
      <c r="G28" s="546" t="s">
        <v>640</v>
      </c>
      <c r="H28" s="539">
        <v>0.12</v>
      </c>
      <c r="I28" s="538"/>
      <c r="J28" s="538">
        <v>30</v>
      </c>
      <c r="K28" s="539">
        <f>$H28*_xlfn.XLOOKUP($G28,'Baumaterialien Matériaux'!$A:$A,'Baumaterialien Matériaux'!V:V,0,0)</f>
        <v>4.7519999999999998</v>
      </c>
      <c r="L28" s="539">
        <f>$H28*_xlfn.XLOOKUP($G28,'Baumaterialien Matériaux'!$A:$A,'Baumaterialien Matériaux'!Y:Y,0,0)</f>
        <v>8.2439999999999999E-2</v>
      </c>
      <c r="M28" s="539">
        <f>$H28*_xlfn.XLOOKUP($G28,'Baumaterialien Matériaux'!$A:$A,'Baumaterialien Matériaux'!AA:AA,0,0)</f>
        <v>1.0668</v>
      </c>
      <c r="N28" s="539">
        <f>$H28*_xlfn.XLOOKUP($G28,'Baumaterialien Matériaux'!$A:$A,'Baumaterialien Matériaux'!AB:AB,0,0)</f>
        <v>0.31440000000000001</v>
      </c>
      <c r="O28" s="539">
        <f>$H28*_xlfn.XLOOKUP($G28,'Baumaterialien Matériaux'!$A:$A,'Baumaterialien Matériaux'!AC:AC,0,0)*44/12</f>
        <v>0</v>
      </c>
      <c r="P28" s="539">
        <f>$H28*_xlfn.XLOOKUP($G28,'Baumaterialien Matériaux'!$A:$A,'Baumaterialien Matériaux'!AG:AG,0,0)</f>
        <v>0</v>
      </c>
      <c r="Q28" s="539">
        <f>$H28*_xlfn.XLOOKUP($G28,'Baumaterialien Matériaux'!$A:$A,'Baumaterialien Matériaux'!AH:AH,0,0)</f>
        <v>0</v>
      </c>
      <c r="V28" s="1785">
        <f t="shared" si="0"/>
        <v>0</v>
      </c>
    </row>
    <row r="29" spans="1:86" s="540" customFormat="1">
      <c r="B29" s="1934"/>
      <c r="C29" s="538" t="s">
        <v>641</v>
      </c>
      <c r="D29" s="538" t="str">
        <f>VLOOKUP(G29,'Baumaterialien Matériaux'!$A$10:$AD$432,30,FALSE)</f>
        <v>Colle de construction/mortier d'enrobage minéral(e) avec agrégats légers</v>
      </c>
      <c r="E29" s="1785"/>
      <c r="F29" s="538" t="str">
        <f>VLOOKUP(G29,'Baumaterialien Matériaux'!$A$10:$AD$432,7,FALSE)</f>
        <v>kg</v>
      </c>
      <c r="G29" s="546" t="s">
        <v>642</v>
      </c>
      <c r="H29" s="539">
        <v>12</v>
      </c>
      <c r="I29" s="538"/>
      <c r="J29" s="538">
        <v>30</v>
      </c>
      <c r="K29" s="539">
        <f>$H29*_xlfn.XLOOKUP($G29,'Baumaterialien Matériaux'!$A:$A,'Baumaterialien Matériaux'!V:V,0,0)</f>
        <v>18.72</v>
      </c>
      <c r="L29" s="539">
        <f>$H29*_xlfn.XLOOKUP($G29,'Baumaterialien Matériaux'!$A:$A,'Baumaterialien Matériaux'!Y:Y,0,0)</f>
        <v>0.62880000000000003</v>
      </c>
      <c r="M29" s="539">
        <f>$H29*_xlfn.XLOOKUP($G29,'Baumaterialien Matériaux'!$A:$A,'Baumaterialien Matériaux'!AA:AA,0,0)</f>
        <v>4.968</v>
      </c>
      <c r="N29" s="539">
        <f>$H29*_xlfn.XLOOKUP($G29,'Baumaterialien Matériaux'!$A:$A,'Baumaterialien Matériaux'!AB:AB,0,0)</f>
        <v>0.15239999999999998</v>
      </c>
      <c r="O29" s="539">
        <f>$H29*_xlfn.XLOOKUP($G29,'Baumaterialien Matériaux'!$A:$A,'Baumaterialien Matériaux'!AC:AC,0,0)*44/12</f>
        <v>0</v>
      </c>
      <c r="P29" s="539">
        <f>$H29*_xlfn.XLOOKUP($G29,'Baumaterialien Matériaux'!$A:$A,'Baumaterialien Matériaux'!AG:AG,0,0)</f>
        <v>0</v>
      </c>
      <c r="Q29" s="539">
        <f>$H29*_xlfn.XLOOKUP($G29,'Baumaterialien Matériaux'!$A:$A,'Baumaterialien Matériaux'!AH:AH,0,0)</f>
        <v>0</v>
      </c>
      <c r="V29" s="1785">
        <f t="shared" si="0"/>
        <v>0</v>
      </c>
    </row>
    <row r="30" spans="1:86" s="540" customFormat="1">
      <c r="B30" s="1934"/>
      <c r="C30" s="538" t="s">
        <v>643</v>
      </c>
      <c r="D30" s="538" t="str">
        <f>VLOOKUP(G30,'Baumaterialien Matériaux'!$A$10:$AD$432,30,FALSE)</f>
        <v xml:space="preserve">Polyamide (PA) renforcé par des fibres de verre </v>
      </c>
      <c r="E30" s="1785"/>
      <c r="F30" s="538" t="str">
        <f>VLOOKUP(G30,'Baumaterialien Matériaux'!$A$10:$AD$432,7,FALSE)</f>
        <v>kg</v>
      </c>
      <c r="G30" s="546" t="s">
        <v>640</v>
      </c>
      <c r="H30" s="539">
        <v>0.16</v>
      </c>
      <c r="I30" s="538"/>
      <c r="J30" s="538">
        <v>30</v>
      </c>
      <c r="K30" s="539">
        <f>$H30*_xlfn.XLOOKUP($G30,'Baumaterialien Matériaux'!$A:$A,'Baumaterialien Matériaux'!V:V,0,0)</f>
        <v>6.3360000000000003</v>
      </c>
      <c r="L30" s="539">
        <f>$H30*_xlfn.XLOOKUP($G30,'Baumaterialien Matériaux'!$A:$A,'Baumaterialien Matériaux'!Y:Y,0,0)</f>
        <v>0.10992000000000002</v>
      </c>
      <c r="M30" s="539">
        <f>$H30*_xlfn.XLOOKUP($G30,'Baumaterialien Matériaux'!$A:$A,'Baumaterialien Matériaux'!AA:AA,0,0)</f>
        <v>1.4224000000000001</v>
      </c>
      <c r="N30" s="539">
        <f>$H30*_xlfn.XLOOKUP($G30,'Baumaterialien Matériaux'!$A:$A,'Baumaterialien Matériaux'!AB:AB,0,0)</f>
        <v>0.41920000000000002</v>
      </c>
      <c r="O30" s="539">
        <f>$H30*_xlfn.XLOOKUP($G30,'Baumaterialien Matériaux'!$A:$A,'Baumaterialien Matériaux'!AC:AC,0,0)*44/12</f>
        <v>0</v>
      </c>
      <c r="P30" s="539">
        <f>$H30*_xlfn.XLOOKUP($G30,'Baumaterialien Matériaux'!$A:$A,'Baumaterialien Matériaux'!AG:AG,0,0)</f>
        <v>0</v>
      </c>
      <c r="Q30" s="539">
        <f>$H30*_xlfn.XLOOKUP($G30,'Baumaterialien Matériaux'!$A:$A,'Baumaterialien Matériaux'!AH:AH,0,0)</f>
        <v>0</v>
      </c>
      <c r="V30" s="1785">
        <f t="shared" si="0"/>
        <v>0</v>
      </c>
    </row>
    <row r="31" spans="1:86" s="540" customFormat="1">
      <c r="B31" s="1934"/>
      <c r="C31" s="538" t="s">
        <v>644</v>
      </c>
      <c r="D31" s="538" t="str">
        <f>VLOOKUP(G31,'Baumaterialien Matériaux'!$A$10:$AD$432,30,FALSE)</f>
        <v>Enduit en plâtre et en ciment</v>
      </c>
      <c r="E31" s="1785"/>
      <c r="F31" s="538" t="str">
        <f>VLOOKUP(G31,'Baumaterialien Matériaux'!$A$10:$AD$432,7,FALSE)</f>
        <v>kg</v>
      </c>
      <c r="G31" s="546" t="s">
        <v>645</v>
      </c>
      <c r="H31" s="539">
        <f>1550*0.0015</f>
        <v>2.3250000000000002</v>
      </c>
      <c r="I31" s="538"/>
      <c r="J31" s="538">
        <v>30</v>
      </c>
      <c r="K31" s="539">
        <f>$H31*_xlfn.XLOOKUP($G31,'Baumaterialien Matériaux'!$A:$A,'Baumaterialien Matériaux'!V:V,0,0)</f>
        <v>1.5391500000000002</v>
      </c>
      <c r="L31" s="539">
        <f>$H31*_xlfn.XLOOKUP($G31,'Baumaterialien Matériaux'!$A:$A,'Baumaterialien Matériaux'!Y:Y,0,0)</f>
        <v>0.12183000000000001</v>
      </c>
      <c r="M31" s="539">
        <f>$H31*_xlfn.XLOOKUP($G31,'Baumaterialien Matériaux'!$A:$A,'Baumaterialien Matériaux'!AA:AA,0,0)</f>
        <v>0.58357500000000007</v>
      </c>
      <c r="N31" s="539">
        <f>$H31*_xlfn.XLOOKUP($G31,'Baumaterialien Matériaux'!$A:$A,'Baumaterialien Matériaux'!AB:AB,0,0)</f>
        <v>2.9527500000000002E-2</v>
      </c>
      <c r="O31" s="539">
        <f>$H31*_xlfn.XLOOKUP($G31,'Baumaterialien Matériaux'!$A:$A,'Baumaterialien Matériaux'!AC:AC,0,0)*44/12</f>
        <v>0</v>
      </c>
      <c r="P31" s="539">
        <f>$H31*_xlfn.XLOOKUP($G31,'Baumaterialien Matériaux'!$A:$A,'Baumaterialien Matériaux'!AG:AG,0,0)</f>
        <v>0</v>
      </c>
      <c r="Q31" s="539">
        <f>$H31*_xlfn.XLOOKUP($G31,'Baumaterialien Matériaux'!$A:$A,'Baumaterialien Matériaux'!AH:AH,0,0)</f>
        <v>0</v>
      </c>
      <c r="V31" s="1785">
        <f t="shared" si="0"/>
        <v>0</v>
      </c>
    </row>
    <row r="32" spans="1:86" s="540" customFormat="1">
      <c r="B32" s="1934"/>
      <c r="C32" s="538" t="s">
        <v>646</v>
      </c>
      <c r="D32" s="538" t="str">
        <f>VLOOKUP(G32,'Baumaterialien Matériaux'!$A$10:$AD$432,30,FALSE)</f>
        <v>Enduit, diluable à l'eau, 2 couches</v>
      </c>
      <c r="E32" s="1785"/>
      <c r="F32" s="538" t="str">
        <f>VLOOKUP(G32,'Baumaterialien Matériaux'!$A$10:$AD$432,7,FALSE)</f>
        <v>m2</v>
      </c>
      <c r="G32" s="546" t="s">
        <v>647</v>
      </c>
      <c r="H32" s="539">
        <v>1</v>
      </c>
      <c r="I32" s="538"/>
      <c r="J32" s="538">
        <v>30</v>
      </c>
      <c r="K32" s="539">
        <f>$H32*_xlfn.XLOOKUP($G32,'Baumaterialien Matériaux'!$A:$A,'Baumaterialien Matériaux'!V:V,0,0)</f>
        <v>4.1500000000000004</v>
      </c>
      <c r="L32" s="539">
        <f>$H32*_xlfn.XLOOKUP($G32,'Baumaterialien Matériaux'!$A:$A,'Baumaterialien Matériaux'!Y:Y,0,0)</f>
        <v>1.67E-2</v>
      </c>
      <c r="M32" s="539">
        <f>$H32*_xlfn.XLOOKUP($G32,'Baumaterialien Matériaux'!$A:$A,'Baumaterialien Matériaux'!AA:AA,0,0)</f>
        <v>0.64500000000000002</v>
      </c>
      <c r="N32" s="539">
        <f>$H32*_xlfn.XLOOKUP($G32,'Baumaterialien Matériaux'!$A:$A,'Baumaterialien Matériaux'!AB:AB,0,0)</f>
        <v>5.62E-2</v>
      </c>
      <c r="O32" s="539">
        <f>$H32*_xlfn.XLOOKUP($G32,'Baumaterialien Matériaux'!$A:$A,'Baumaterialien Matériaux'!AC:AC,0,0)*44/12</f>
        <v>0</v>
      </c>
      <c r="P32" s="539">
        <f>$H32*_xlfn.XLOOKUP($G32,'Baumaterialien Matériaux'!$A:$A,'Baumaterialien Matériaux'!AG:AG,0,0)</f>
        <v>0</v>
      </c>
      <c r="Q32" s="539">
        <f>$H32*_xlfn.XLOOKUP($G32,'Baumaterialien Matériaux'!$A:$A,'Baumaterialien Matériaux'!AH:AH,0,0)</f>
        <v>0</v>
      </c>
      <c r="V32" s="1785">
        <f t="shared" si="0"/>
        <v>0</v>
      </c>
    </row>
    <row r="33" spans="1:86" s="577" customFormat="1" ht="15.75" thickBot="1">
      <c r="B33" s="578"/>
      <c r="C33" s="588"/>
      <c r="G33" s="579"/>
      <c r="J33" s="589">
        <v>30</v>
      </c>
      <c r="K33" s="581">
        <f t="shared" ref="K33:L33" si="16">SUM(K27:K32)</f>
        <v>43.582149999999999</v>
      </c>
      <c r="L33" s="581">
        <f t="shared" si="16"/>
        <v>1.2478900000000002</v>
      </c>
      <c r="M33" s="581">
        <f>SUM(M27:M32)</f>
        <v>10.847275</v>
      </c>
      <c r="N33" s="581">
        <f>SUM(N27:N32)</f>
        <v>1.0415775</v>
      </c>
      <c r="O33" s="581">
        <f>SUM(O27:O32)</f>
        <v>0</v>
      </c>
      <c r="P33" s="581">
        <f>SUM(P27:P32)</f>
        <v>0</v>
      </c>
      <c r="Q33" s="581">
        <f>SUM(Q27:Q32)</f>
        <v>0</v>
      </c>
      <c r="R33" s="540"/>
      <c r="S33" s="540">
        <f>(M33+N33)/J32</f>
        <v>0.39629508333333335</v>
      </c>
      <c r="T33" s="540">
        <v>1.1399999999999999</v>
      </c>
      <c r="U33" s="540"/>
      <c r="V33" s="1785">
        <f t="shared" si="0"/>
        <v>0</v>
      </c>
      <c r="W33" s="540"/>
      <c r="X33" s="540"/>
      <c r="Y33" s="540"/>
      <c r="Z33" s="540"/>
      <c r="AA33" s="540"/>
      <c r="AB33" s="540"/>
      <c r="AC33" s="540"/>
      <c r="AD33" s="540"/>
      <c r="AE33" s="540"/>
      <c r="AF33" s="540"/>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0"/>
      <c r="BE33" s="540"/>
      <c r="BF33" s="540"/>
      <c r="BG33" s="540"/>
      <c r="BH33" s="540"/>
      <c r="BI33" s="540"/>
      <c r="BJ33" s="540"/>
      <c r="BK33" s="540"/>
      <c r="BL33" s="540"/>
      <c r="BM33" s="540"/>
      <c r="BN33" s="540"/>
      <c r="BO33" s="540"/>
      <c r="BP33" s="540"/>
      <c r="BQ33" s="540"/>
      <c r="BR33" s="540"/>
      <c r="BS33" s="540"/>
      <c r="BT33" s="540"/>
      <c r="BU33" s="540"/>
      <c r="BV33" s="540"/>
      <c r="BW33" s="540"/>
      <c r="BX33" s="540"/>
      <c r="BY33" s="540"/>
      <c r="BZ33" s="540"/>
      <c r="CA33" s="540"/>
      <c r="CB33" s="540"/>
      <c r="CC33" s="540"/>
      <c r="CD33" s="540"/>
      <c r="CE33" s="540"/>
      <c r="CF33" s="540"/>
      <c r="CG33" s="540"/>
      <c r="CH33" s="540"/>
    </row>
    <row r="34" spans="1:86" ht="15" thickTop="1">
      <c r="C34" s="974"/>
      <c r="D34" s="974"/>
      <c r="E34" s="1788"/>
      <c r="F34" s="974"/>
      <c r="G34" s="1175"/>
      <c r="H34" s="975"/>
      <c r="K34" s="126"/>
      <c r="L34" s="126"/>
      <c r="M34" s="126"/>
      <c r="N34" s="126"/>
      <c r="O34" s="126"/>
      <c r="P34" s="126"/>
      <c r="Q34" s="126"/>
      <c r="V34" s="1785">
        <f t="shared" si="0"/>
        <v>0</v>
      </c>
    </row>
    <row r="35" spans="1:86" s="557" customFormat="1">
      <c r="A35" s="1056" t="s">
        <v>648</v>
      </c>
      <c r="B35" s="1934" t="s">
        <v>649</v>
      </c>
      <c r="C35" s="538" t="s">
        <v>650</v>
      </c>
      <c r="D35" s="538" t="str">
        <f>VLOOKUP(G35,'Baumaterialien Matériaux'!$A$10:$AD$432,30,FALSE)</f>
        <v>Bois massif épicéa / sapin / mélèze, séché en cellule, raboté</v>
      </c>
      <c r="E35" s="1785"/>
      <c r="F35" s="538" t="str">
        <f>VLOOKUP(G35,'Baumaterialien Matériaux'!$A$10:$AD$432,7,FALSE)</f>
        <v>kg</v>
      </c>
      <c r="G35" s="546" t="s">
        <v>651</v>
      </c>
      <c r="H35" s="539">
        <f>0.0285*465</f>
        <v>13.252500000000001</v>
      </c>
      <c r="I35" s="538"/>
      <c r="J35" s="556">
        <v>40</v>
      </c>
      <c r="K35" s="847">
        <f>$H35*_xlfn.XLOOKUP($G35,'Baumaterialien Matériaux'!$A:$A,'Baumaterialien Matériaux'!V:V,0,0)</f>
        <v>9.1177200000000003</v>
      </c>
      <c r="L35" s="847">
        <f>$H35*_xlfn.XLOOKUP($G35,'Baumaterialien Matériaux'!$A:$A,'Baumaterialien Matériaux'!Y:Y,0,0)</f>
        <v>1.1768220000000003</v>
      </c>
      <c r="M35" s="847">
        <f>$H35*_xlfn.XLOOKUP($G35,'Baumaterialien Matériaux'!$A:$A,'Baumaterialien Matériaux'!AA:AA,0,0)</f>
        <v>1.7758350000000003</v>
      </c>
      <c r="N35" s="847">
        <f>$H35*_xlfn.XLOOKUP($G35,'Baumaterialien Matériaux'!$A:$A,'Baumaterialien Matériaux'!AB:AB,0,0)</f>
        <v>0.51684750000000002</v>
      </c>
      <c r="O35" s="847">
        <f>$H35*_xlfn.XLOOKUP($G35,'Baumaterialien Matériaux'!$A:$A,'Baumaterialien Matériaux'!AC:AC,0,0)*44/12</f>
        <v>21.915217500000001</v>
      </c>
      <c r="P35" s="847">
        <f>$H35*_xlfn.XLOOKUP($G35,'Baumaterialien Matériaux'!$A:$A,'Baumaterialien Matériaux'!AG:AG,0,0)</f>
        <v>0</v>
      </c>
      <c r="Q35" s="847">
        <f>$H35*_xlfn.XLOOKUP($G35,'Baumaterialien Matériaux'!$A:$A,'Baumaterialien Matériaux'!AH:AH,0,0)</f>
        <v>0</v>
      </c>
      <c r="R35" s="540"/>
      <c r="S35" s="540"/>
      <c r="T35" s="540"/>
      <c r="U35" s="540"/>
      <c r="V35" s="1785">
        <f t="shared" si="0"/>
        <v>0</v>
      </c>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540"/>
      <c r="BB35" s="540"/>
      <c r="BC35" s="540"/>
      <c r="BD35" s="540"/>
      <c r="BE35" s="540"/>
      <c r="BF35" s="540"/>
      <c r="BG35" s="540"/>
      <c r="BH35" s="540"/>
      <c r="BI35" s="540"/>
      <c r="BJ35" s="540"/>
      <c r="BK35" s="540"/>
      <c r="BL35" s="540"/>
      <c r="BM35" s="540"/>
      <c r="BN35" s="540"/>
      <c r="BO35" s="540"/>
      <c r="BP35" s="540"/>
      <c r="BQ35" s="540"/>
      <c r="BR35" s="540"/>
      <c r="BS35" s="540"/>
      <c r="BT35" s="540"/>
      <c r="BU35" s="540"/>
      <c r="BV35" s="540"/>
      <c r="BW35" s="540"/>
      <c r="BX35" s="540"/>
      <c r="BY35" s="540"/>
      <c r="BZ35" s="540"/>
      <c r="CA35" s="540"/>
      <c r="CB35" s="540"/>
      <c r="CC35" s="540"/>
      <c r="CD35" s="540"/>
      <c r="CE35" s="540"/>
      <c r="CF35" s="540"/>
      <c r="CG35" s="540"/>
      <c r="CH35" s="540"/>
    </row>
    <row r="36" spans="1:86" s="540" customFormat="1">
      <c r="B36" s="1934"/>
      <c r="C36" s="538" t="s">
        <v>652</v>
      </c>
      <c r="D36" s="538" t="str">
        <f>VLOOKUP(G36,'Baumaterialien Matériaux'!$A$10:$AD$432,30,FALSE)</f>
        <v>Enduit, diluable à l'eau, 2 couches</v>
      </c>
      <c r="E36" s="1785"/>
      <c r="F36" s="538" t="str">
        <f>VLOOKUP(G36,'Baumaterialien Matériaux'!$A$10:$AD$432,7,FALSE)</f>
        <v>m2</v>
      </c>
      <c r="G36" s="546" t="s">
        <v>647</v>
      </c>
      <c r="H36" s="539">
        <v>1</v>
      </c>
      <c r="I36" s="538"/>
      <c r="J36" s="548">
        <v>40</v>
      </c>
      <c r="K36" s="848">
        <f>$H36*_xlfn.XLOOKUP($G36,'Baumaterialien Matériaux'!$A:$A,'Baumaterialien Matériaux'!V:V,0,0)</f>
        <v>4.1500000000000004</v>
      </c>
      <c r="L36" s="848">
        <f>$H36*_xlfn.XLOOKUP($G36,'Baumaterialien Matériaux'!$A:$A,'Baumaterialien Matériaux'!Y:Y,0,0)</f>
        <v>1.67E-2</v>
      </c>
      <c r="M36" s="848">
        <f>$H36*_xlfn.XLOOKUP($G36,'Baumaterialien Matériaux'!$A:$A,'Baumaterialien Matériaux'!AA:AA,0,0)</f>
        <v>0.64500000000000002</v>
      </c>
      <c r="N36" s="848">
        <f>$H36*_xlfn.XLOOKUP($G36,'Baumaterialien Matériaux'!$A:$A,'Baumaterialien Matériaux'!AB:AB,0,0)</f>
        <v>5.62E-2</v>
      </c>
      <c r="O36" s="848">
        <f>$H36*_xlfn.XLOOKUP($G36,'Baumaterialien Matériaux'!$A:$A,'Baumaterialien Matériaux'!AC:AC,0,0)*44/12</f>
        <v>0</v>
      </c>
      <c r="P36" s="848">
        <f>$H36*_xlfn.XLOOKUP($G36,'Baumaterialien Matériaux'!$A:$A,'Baumaterialien Matériaux'!AG:AG,0,0)</f>
        <v>0</v>
      </c>
      <c r="Q36" s="848">
        <f>$H36*_xlfn.XLOOKUP($G36,'Baumaterialien Matériaux'!$A:$A,'Baumaterialien Matériaux'!AH:AH,0,0)</f>
        <v>0</v>
      </c>
      <c r="V36" s="1785">
        <f t="shared" si="0"/>
        <v>0</v>
      </c>
    </row>
    <row r="37" spans="1:86" s="540" customFormat="1">
      <c r="B37" s="1934"/>
      <c r="C37" s="538" t="s">
        <v>653</v>
      </c>
      <c r="D37" s="538" t="str">
        <f>VLOOKUP(G37,'Baumaterialien Matériaux'!$A$10:$AD$432,30,FALSE)</f>
        <v>Tôle d'acier nickel-chrome 18/8, nue</v>
      </c>
      <c r="E37" s="1785"/>
      <c r="F37" s="538" t="str">
        <f>VLOOKUP(G37,'Baumaterialien Matériaux'!$A$10:$AD$432,7,FALSE)</f>
        <v>kg</v>
      </c>
      <c r="G37" s="546" t="s">
        <v>654</v>
      </c>
      <c r="H37" s="539">
        <v>0.37064999999999998</v>
      </c>
      <c r="I37" s="538"/>
      <c r="J37" s="548">
        <v>40</v>
      </c>
      <c r="K37" s="848">
        <f>$H37*_xlfn.XLOOKUP($G37,'Baumaterialien Matériaux'!$A:$A,'Baumaterialien Matériaux'!V:V,0,0)</f>
        <v>5.3744249999999996</v>
      </c>
      <c r="L37" s="848">
        <f>$H37*_xlfn.XLOOKUP($G37,'Baumaterialien Matériaux'!$A:$A,'Baumaterialien Matériaux'!Y:Y,0,0)</f>
        <v>1.0081679999999999E-2</v>
      </c>
      <c r="M37" s="848">
        <f>$H37*_xlfn.XLOOKUP($G37,'Baumaterialien Matériaux'!$A:$A,'Baumaterialien Matériaux'!AA:AA,0,0)</f>
        <v>1.5233715000000001</v>
      </c>
      <c r="N37" s="848">
        <f>$H37*_xlfn.XLOOKUP($G37,'Baumaterialien Matériaux'!$A:$A,'Baumaterialien Matériaux'!AB:AB,0,0)</f>
        <v>2.5686045000000001E-3</v>
      </c>
      <c r="O37" s="848">
        <f>$H37*_xlfn.XLOOKUP($G37,'Baumaterialien Matériaux'!$A:$A,'Baumaterialien Matériaux'!AC:AC,0,0)*44/12</f>
        <v>0</v>
      </c>
      <c r="P37" s="848">
        <f>$H37*_xlfn.XLOOKUP($G37,'Baumaterialien Matériaux'!$A:$A,'Baumaterialien Matériaux'!AG:AG,0,0)</f>
        <v>0</v>
      </c>
      <c r="Q37" s="848">
        <f>$H37*_xlfn.XLOOKUP($G37,'Baumaterialien Matériaux'!$A:$A,'Baumaterialien Matériaux'!AH:AH,0,0)</f>
        <v>0</v>
      </c>
      <c r="V37" s="1785">
        <f t="shared" si="0"/>
        <v>0</v>
      </c>
    </row>
    <row r="38" spans="1:86" s="540" customFormat="1">
      <c r="B38" s="1934"/>
      <c r="C38" s="538" t="s">
        <v>655</v>
      </c>
      <c r="D38" s="538" t="str">
        <f>VLOOKUP(G38,'Baumaterialien Matériaux'!$A$10:$AD$432,30,FALSE)</f>
        <v xml:space="preserve">Polyamide (PA) renforcé par des fibres de verre </v>
      </c>
      <c r="E38" s="1785"/>
      <c r="F38" s="538" t="str">
        <f>VLOOKUP(G38,'Baumaterialien Matériaux'!$A$10:$AD$432,7,FALSE)</f>
        <v>kg</v>
      </c>
      <c r="G38" s="546" t="s">
        <v>640</v>
      </c>
      <c r="H38" s="539">
        <v>8.4400000000000003E-2</v>
      </c>
      <c r="I38" s="538"/>
      <c r="J38" s="548">
        <v>40</v>
      </c>
      <c r="K38" s="848">
        <f>$H38*_xlfn.XLOOKUP($G38,'Baumaterialien Matériaux'!$A:$A,'Baumaterialien Matériaux'!V:V,0,0)</f>
        <v>3.3422400000000003</v>
      </c>
      <c r="L38" s="848">
        <f>$H38*_xlfn.XLOOKUP($G38,'Baumaterialien Matériaux'!$A:$A,'Baumaterialien Matériaux'!Y:Y,0,0)</f>
        <v>5.7982800000000008E-2</v>
      </c>
      <c r="M38" s="848">
        <f>$H38*_xlfn.XLOOKUP($G38,'Baumaterialien Matériaux'!$A:$A,'Baumaterialien Matériaux'!AA:AA,0,0)</f>
        <v>0.75031600000000009</v>
      </c>
      <c r="N38" s="848">
        <f>$H38*_xlfn.XLOOKUP($G38,'Baumaterialien Matériaux'!$A:$A,'Baumaterialien Matériaux'!AB:AB,0,0)</f>
        <v>0.22112800000000002</v>
      </c>
      <c r="O38" s="848">
        <f>$H38*_xlfn.XLOOKUP($G38,'Baumaterialien Matériaux'!$A:$A,'Baumaterialien Matériaux'!AC:AC,0,0)*44/12</f>
        <v>0</v>
      </c>
      <c r="P38" s="848">
        <f>$H38*_xlfn.XLOOKUP($G38,'Baumaterialien Matériaux'!$A:$A,'Baumaterialien Matériaux'!AG:AG,0,0)</f>
        <v>0</v>
      </c>
      <c r="Q38" s="848">
        <f>$H38*_xlfn.XLOOKUP($G38,'Baumaterialien Matériaux'!$A:$A,'Baumaterialien Matériaux'!AH:AH,0,0)</f>
        <v>0</v>
      </c>
      <c r="V38" s="1785">
        <f t="shared" si="0"/>
        <v>0</v>
      </c>
    </row>
    <row r="39" spans="1:86" s="540" customFormat="1">
      <c r="B39" s="1934"/>
      <c r="C39" s="538" t="s">
        <v>656</v>
      </c>
      <c r="D39" s="538" t="str">
        <f>VLOOKUP(G39,'Baumaterialien Matériaux'!$A$10:$AD$432,30,FALSE)</f>
        <v>Tôle d'acier, zinguée</v>
      </c>
      <c r="E39" s="1785"/>
      <c r="F39" s="538" t="str">
        <f>VLOOKUP(G39,'Baumaterialien Matériaux'!$A$10:$AD$432,7,FALSE)</f>
        <v>kg</v>
      </c>
      <c r="G39" s="546" t="s">
        <v>657</v>
      </c>
      <c r="H39" s="539">
        <v>0.54</v>
      </c>
      <c r="I39" s="538"/>
      <c r="J39" s="548">
        <v>40</v>
      </c>
      <c r="K39" s="848">
        <f>$H39*_xlfn.XLOOKUP($G39,'Baumaterialien Matériaux'!$A:$A,'Baumaterialien Matériaux'!V:V,0,0)</f>
        <v>8.4239999999999995</v>
      </c>
      <c r="L39" s="848">
        <f>$H39*_xlfn.XLOOKUP($G39,'Baumaterialien Matériaux'!$A:$A,'Baumaterialien Matériaux'!Y:Y,0,0)</f>
        <v>1.4688E-2</v>
      </c>
      <c r="M39" s="848">
        <f>$H39*_xlfn.XLOOKUP($G39,'Baumaterialien Matériaux'!$A:$A,'Baumaterialien Matériaux'!AA:AA,0,0)</f>
        <v>2.4192000000000005</v>
      </c>
      <c r="N39" s="848">
        <f>$H39*_xlfn.XLOOKUP($G39,'Baumaterialien Matériaux'!$A:$A,'Baumaterialien Matériaux'!AB:AB,0,0)</f>
        <v>3.7422000000000006E-3</v>
      </c>
      <c r="O39" s="848">
        <f>$H39*_xlfn.XLOOKUP($G39,'Baumaterialien Matériaux'!$A:$A,'Baumaterialien Matériaux'!AC:AC,0,0)*44/12</f>
        <v>0</v>
      </c>
      <c r="P39" s="848">
        <f>$H39*_xlfn.XLOOKUP($G39,'Baumaterialien Matériaux'!$A:$A,'Baumaterialien Matériaux'!AG:AG,0,0)</f>
        <v>0</v>
      </c>
      <c r="Q39" s="848">
        <f>$H39*_xlfn.XLOOKUP($G39,'Baumaterialien Matériaux'!$A:$A,'Baumaterialien Matériaux'!AH:AH,0,0)</f>
        <v>0</v>
      </c>
      <c r="V39" s="1785">
        <f t="shared" si="0"/>
        <v>0</v>
      </c>
    </row>
    <row r="40" spans="1:86" s="540" customFormat="1">
      <c r="B40" s="1934"/>
      <c r="C40" s="538" t="s">
        <v>658</v>
      </c>
      <c r="D40" s="538" t="str">
        <f>VLOOKUP(G40,'Baumaterialien Matériaux'!$A$10:$AD$432,30,FALSE)</f>
        <v xml:space="preserve">Polyamide (PA) renforcé par des fibres de verre </v>
      </c>
      <c r="E40" s="1785"/>
      <c r="F40" s="538" t="str">
        <f>VLOOKUP(G40,'Baumaterialien Matériaux'!$A$10:$AD$432,7,FALSE)</f>
        <v>kg</v>
      </c>
      <c r="G40" s="546" t="s">
        <v>640</v>
      </c>
      <c r="H40" s="539">
        <v>0.12</v>
      </c>
      <c r="I40" s="538"/>
      <c r="J40" s="548">
        <v>40</v>
      </c>
      <c r="K40" s="848">
        <f>$H40*_xlfn.XLOOKUP($G40,'Baumaterialien Matériaux'!$A:$A,'Baumaterialien Matériaux'!V:V,0,0)</f>
        <v>4.7519999999999998</v>
      </c>
      <c r="L40" s="848">
        <f>$H40*_xlfn.XLOOKUP($G40,'Baumaterialien Matériaux'!$A:$A,'Baumaterialien Matériaux'!Y:Y,0,0)</f>
        <v>8.2439999999999999E-2</v>
      </c>
      <c r="M40" s="848">
        <f>$H40*_xlfn.XLOOKUP($G40,'Baumaterialien Matériaux'!$A:$A,'Baumaterialien Matériaux'!AA:AA,0,0)</f>
        <v>1.0668</v>
      </c>
      <c r="N40" s="848">
        <f>$H40*_xlfn.XLOOKUP($G40,'Baumaterialien Matériaux'!$A:$A,'Baumaterialien Matériaux'!AB:AB,0,0)</f>
        <v>0.31440000000000001</v>
      </c>
      <c r="O40" s="848">
        <f>$H40*_xlfn.XLOOKUP($G40,'Baumaterialien Matériaux'!$A:$A,'Baumaterialien Matériaux'!AC:AC,0,0)*44/12</f>
        <v>0</v>
      </c>
      <c r="P40" s="848">
        <f>$H40*_xlfn.XLOOKUP($G40,'Baumaterialien Matériaux'!$A:$A,'Baumaterialien Matériaux'!AG:AG,0,0)</f>
        <v>0</v>
      </c>
      <c r="Q40" s="848">
        <f>$H40*_xlfn.XLOOKUP($G40,'Baumaterialien Matériaux'!$A:$A,'Baumaterialien Matériaux'!AH:AH,0,0)</f>
        <v>0</v>
      </c>
      <c r="V40" s="1785">
        <f t="shared" si="0"/>
        <v>0</v>
      </c>
    </row>
    <row r="41" spans="1:86" s="540" customFormat="1">
      <c r="B41" s="1934"/>
      <c r="C41" s="538" t="s">
        <v>659</v>
      </c>
      <c r="D41" s="538" t="str">
        <f>VLOOKUP(G41,'Baumaterialien Matériaux'!$A$10:$AD$432,30,FALSE)</f>
        <v>Voile de polyéthylène (PE)</v>
      </c>
      <c r="E41" s="1785"/>
      <c r="F41" s="538" t="str">
        <f>VLOOKUP(G41,'Baumaterialien Matériaux'!$A$10:$AD$432,7,FALSE)</f>
        <v>kg</v>
      </c>
      <c r="G41" s="546" t="s">
        <v>600</v>
      </c>
      <c r="H41" s="539">
        <v>0.22</v>
      </c>
      <c r="I41" s="538"/>
      <c r="J41" s="549">
        <v>40</v>
      </c>
      <c r="K41" s="849">
        <f>$H41*_xlfn.XLOOKUP($G41,'Baumaterialien Matériaux'!$A:$A,'Baumaterialien Matériaux'!V:V,0,0)</f>
        <v>5.6539999999999999</v>
      </c>
      <c r="L41" s="849">
        <f>$H41*_xlfn.XLOOKUP($G41,'Baumaterialien Matériaux'!$A:$A,'Baumaterialien Matériaux'!Y:Y,0,0)</f>
        <v>4.598E-2</v>
      </c>
      <c r="M41" s="849">
        <f>$H41*_xlfn.XLOOKUP($G41,'Baumaterialien Matériaux'!$A:$A,'Baumaterialien Matériaux'!AA:AA,0,0)</f>
        <v>0.6512</v>
      </c>
      <c r="N41" s="849">
        <f>$H41*_xlfn.XLOOKUP($G41,'Baumaterialien Matériaux'!$A:$A,'Baumaterialien Matériaux'!AB:AB,0,0)</f>
        <v>0.58740000000000003</v>
      </c>
      <c r="O41" s="849">
        <f>$H41*_xlfn.XLOOKUP($G41,'Baumaterialien Matériaux'!$A:$A,'Baumaterialien Matériaux'!AC:AC,0,0)*44/12</f>
        <v>0</v>
      </c>
      <c r="P41" s="849">
        <f>$H41*_xlfn.XLOOKUP($G41,'Baumaterialien Matériaux'!$A:$A,'Baumaterialien Matériaux'!AG:AG,0,0)</f>
        <v>0</v>
      </c>
      <c r="Q41" s="849">
        <f>$H41*_xlfn.XLOOKUP($G41,'Baumaterialien Matériaux'!$A:$A,'Baumaterialien Matériaux'!AH:AH,0,0)</f>
        <v>0</v>
      </c>
      <c r="V41" s="1785">
        <f t="shared" si="0"/>
        <v>0</v>
      </c>
    </row>
    <row r="42" spans="1:86" s="577" customFormat="1" ht="15.75" thickBot="1">
      <c r="B42" s="578"/>
      <c r="G42" s="579"/>
      <c r="J42" s="589">
        <v>40</v>
      </c>
      <c r="K42" s="581">
        <f t="shared" ref="K42:L42" si="17">SUM(K35:K41)</f>
        <v>40.814385000000001</v>
      </c>
      <c r="L42" s="581">
        <f t="shared" si="17"/>
        <v>1.4046944800000003</v>
      </c>
      <c r="M42" s="581">
        <f>SUM(M35:M41)</f>
        <v>8.8317225000000015</v>
      </c>
      <c r="N42" s="581">
        <f>SUM(N35:N41)</f>
        <v>1.7022863045000003</v>
      </c>
      <c r="O42" s="581">
        <f>SUM(O35:O41)</f>
        <v>21.915217500000001</v>
      </c>
      <c r="P42" s="581">
        <f>SUM(P35:P41)</f>
        <v>0</v>
      </c>
      <c r="Q42" s="581">
        <f>SUM(Q35:Q41)</f>
        <v>0</v>
      </c>
      <c r="R42" s="540"/>
      <c r="S42" s="540">
        <f>(M42+N42)/J41</f>
        <v>0.26335022011250003</v>
      </c>
      <c r="T42" s="540">
        <v>0.46</v>
      </c>
      <c r="U42" s="540"/>
      <c r="V42" s="1785">
        <f t="shared" si="0"/>
        <v>0</v>
      </c>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0"/>
      <c r="BI42" s="540"/>
      <c r="BJ42" s="540"/>
      <c r="BK42" s="540"/>
      <c r="BL42" s="540"/>
      <c r="BM42" s="540"/>
      <c r="BN42" s="540"/>
      <c r="BO42" s="540"/>
      <c r="BP42" s="540"/>
      <c r="BQ42" s="540"/>
      <c r="BR42" s="540"/>
      <c r="BS42" s="540"/>
      <c r="BT42" s="540"/>
      <c r="BU42" s="540"/>
      <c r="BV42" s="540"/>
      <c r="BW42" s="540"/>
      <c r="BX42" s="540"/>
      <c r="BY42" s="540"/>
      <c r="BZ42" s="540"/>
      <c r="CA42" s="540"/>
      <c r="CB42" s="540"/>
      <c r="CC42" s="540"/>
      <c r="CD42" s="540"/>
      <c r="CE42" s="540"/>
      <c r="CF42" s="540"/>
      <c r="CG42" s="540"/>
      <c r="CH42" s="540"/>
    </row>
    <row r="43" spans="1:86" ht="15.75" thickTop="1">
      <c r="J43" s="1"/>
      <c r="K43" s="842"/>
      <c r="L43" s="842"/>
      <c r="M43" s="842"/>
      <c r="N43" s="842"/>
      <c r="O43" s="842"/>
      <c r="P43" s="842"/>
      <c r="Q43" s="842"/>
      <c r="V43" s="1785">
        <f t="shared" si="0"/>
        <v>0</v>
      </c>
    </row>
    <row r="44" spans="1:86" s="557" customFormat="1">
      <c r="A44" s="1056" t="s">
        <v>660</v>
      </c>
      <c r="B44" s="1936" t="s">
        <v>661</v>
      </c>
      <c r="C44" s="608" t="s">
        <v>662</v>
      </c>
      <c r="D44" s="538" t="str">
        <f>VLOOKUP(G44,'Baumaterialien Matériaux'!$A$10:$AD$432,30,FALSE)</f>
        <v>Tuile en terre cuite</v>
      </c>
      <c r="E44" s="1785"/>
      <c r="F44" s="538" t="str">
        <f>VLOOKUP(G44,'Baumaterialien Matériaux'!$A$10:$AD$432,7,FALSE)</f>
        <v>kg</v>
      </c>
      <c r="G44" s="923" t="s">
        <v>663</v>
      </c>
      <c r="H44" s="924">
        <f>48*5.5</f>
        <v>264</v>
      </c>
      <c r="I44" s="538"/>
      <c r="J44" s="538">
        <v>40</v>
      </c>
      <c r="K44" s="539">
        <f>$H44*_xlfn.XLOOKUP($G44,'Baumaterialien Matériaux'!$A:$A,'Baumaterialien Matériaux'!V:V,0,0)</f>
        <v>279.84000000000003</v>
      </c>
      <c r="L44" s="539">
        <f>$H44*_xlfn.XLOOKUP($G44,'Baumaterialien Matériaux'!$A:$A,'Baumaterialien Matériaux'!Y:Y,0,0)</f>
        <v>13.728</v>
      </c>
      <c r="M44" s="539">
        <f>$H44*_xlfn.XLOOKUP($G44,'Baumaterialien Matériaux'!$A:$A,'Baumaterialien Matériaux'!AA:AA,0,0)</f>
        <v>98.471999999999994</v>
      </c>
      <c r="N44" s="539">
        <f>$H44*_xlfn.XLOOKUP($G44,'Baumaterialien Matériaux'!$A:$A,'Baumaterialien Matériaux'!AB:AB,0,0)</f>
        <v>3.3527999999999998</v>
      </c>
      <c r="O44" s="539">
        <f>$H44*_xlfn.XLOOKUP($G44,'Baumaterialien Matériaux'!$A:$A,'Baumaterialien Matériaux'!AC:AC,0,0)*44/12</f>
        <v>0</v>
      </c>
      <c r="P44" s="539">
        <f>$H44*_xlfn.XLOOKUP($G44,'Baumaterialien Matériaux'!$A:$A,'Baumaterialien Matériaux'!AG:AG,0,0)</f>
        <v>0</v>
      </c>
      <c r="Q44" s="539">
        <f>$H44*_xlfn.XLOOKUP($G44,'Baumaterialien Matériaux'!$A:$A,'Baumaterialien Matériaux'!AH:AH,0,0)</f>
        <v>0</v>
      </c>
      <c r="R44" s="540"/>
      <c r="S44" s="540"/>
      <c r="T44" s="540"/>
      <c r="U44" s="540"/>
      <c r="V44" s="1785">
        <f t="shared" si="0"/>
        <v>0</v>
      </c>
      <c r="W44" s="540"/>
      <c r="X44" s="540"/>
      <c r="Y44" s="540"/>
      <c r="Z44" s="540"/>
      <c r="AA44" s="540"/>
      <c r="AB44" s="540"/>
      <c r="AC44" s="540"/>
      <c r="AD44" s="540"/>
      <c r="AE44" s="540"/>
      <c r="AF44" s="540"/>
      <c r="AG44" s="540"/>
      <c r="AH44" s="540"/>
      <c r="AI44" s="540"/>
      <c r="AJ44" s="540"/>
      <c r="AK44" s="540"/>
      <c r="AL44" s="540"/>
      <c r="AM44" s="540"/>
      <c r="AN44" s="540"/>
      <c r="AO44" s="540"/>
      <c r="AP44" s="540"/>
      <c r="AQ44" s="540"/>
      <c r="AR44" s="540"/>
      <c r="AS44" s="540"/>
      <c r="AT44" s="540"/>
      <c r="AU44" s="540"/>
      <c r="AV44" s="540"/>
      <c r="AW44" s="540"/>
      <c r="AX44" s="540"/>
      <c r="AY44" s="540"/>
      <c r="AZ44" s="540"/>
      <c r="BA44" s="540"/>
      <c r="BB44" s="540"/>
      <c r="BC44" s="540"/>
      <c r="BD44" s="540"/>
      <c r="BE44" s="540"/>
      <c r="BF44" s="540"/>
      <c r="BG44" s="540"/>
      <c r="BH44" s="540"/>
      <c r="BI44" s="540"/>
      <c r="BJ44" s="540"/>
      <c r="BK44" s="540"/>
      <c r="BL44" s="540"/>
      <c r="BM44" s="540"/>
      <c r="BN44" s="540"/>
      <c r="BO44" s="540"/>
      <c r="BP44" s="540"/>
      <c r="BQ44" s="540"/>
      <c r="BR44" s="540"/>
      <c r="BS44" s="540"/>
      <c r="BT44" s="540"/>
      <c r="BU44" s="540"/>
      <c r="BV44" s="540"/>
      <c r="BW44" s="540"/>
      <c r="BX44" s="540"/>
      <c r="BY44" s="540"/>
      <c r="BZ44" s="540"/>
      <c r="CA44" s="540"/>
      <c r="CB44" s="540"/>
      <c r="CC44" s="540"/>
      <c r="CD44" s="540"/>
      <c r="CE44" s="540"/>
      <c r="CF44" s="540"/>
      <c r="CG44" s="540"/>
      <c r="CH44" s="540"/>
    </row>
    <row r="45" spans="1:86" s="540" customFormat="1">
      <c r="B45" s="1936"/>
      <c r="C45" s="538" t="s">
        <v>624</v>
      </c>
      <c r="D45" s="538" t="str">
        <f>VLOOKUP(G45,'Baumaterialien Matériaux'!$A$10:$AD$432,30,FALSE)</f>
        <v>Enduit de ciment</v>
      </c>
      <c r="E45" s="1785"/>
      <c r="F45" s="538" t="str">
        <f>VLOOKUP(G45,'Baumaterialien Matériaux'!$A$10:$AD$432,7,FALSE)</f>
        <v>kg</v>
      </c>
      <c r="G45" s="925" t="s">
        <v>625</v>
      </c>
      <c r="H45" s="924">
        <f>39*1.6</f>
        <v>62.400000000000006</v>
      </c>
      <c r="I45" s="538"/>
      <c r="J45" s="538">
        <v>40</v>
      </c>
      <c r="K45" s="539">
        <f>$H45*_xlfn.XLOOKUP($G45,'Baumaterialien Matériaux'!$A:$A,'Baumaterialien Matériaux'!V:V,0,0)</f>
        <v>37.564800000000005</v>
      </c>
      <c r="L45" s="539">
        <f>$H45*_xlfn.XLOOKUP($G45,'Baumaterialien Matériaux'!$A:$A,'Baumaterialien Matériaux'!Y:Y,0,0)</f>
        <v>3.2697600000000002</v>
      </c>
      <c r="M45" s="539">
        <f>$H45*_xlfn.XLOOKUP($G45,'Baumaterialien Matériaux'!$A:$A,'Baumaterialien Matériaux'!AA:AA,0,0)</f>
        <v>15.475200000000001</v>
      </c>
      <c r="N45" s="539">
        <f>$H45*_xlfn.XLOOKUP($G45,'Baumaterialien Matériaux'!$A:$A,'Baumaterialien Matériaux'!AB:AB,0,0)</f>
        <v>0.79248000000000007</v>
      </c>
      <c r="O45" s="539">
        <f>$H45*_xlfn.XLOOKUP($G45,'Baumaterialien Matériaux'!$A:$A,'Baumaterialien Matériaux'!AC:AC,0,0)*44/12</f>
        <v>0</v>
      </c>
      <c r="P45" s="539">
        <f>$H45*_xlfn.XLOOKUP($G45,'Baumaterialien Matériaux'!$A:$A,'Baumaterialien Matériaux'!AG:AG,0,0)</f>
        <v>0</v>
      </c>
      <c r="Q45" s="539">
        <f>$H45*_xlfn.XLOOKUP($G45,'Baumaterialien Matériaux'!$A:$A,'Baumaterialien Matériaux'!AH:AH,0,0)</f>
        <v>0</v>
      </c>
      <c r="V45" s="1785">
        <f t="shared" si="0"/>
        <v>0</v>
      </c>
    </row>
    <row r="46" spans="1:86" s="540" customFormat="1">
      <c r="B46" s="1936"/>
      <c r="C46" s="538" t="s">
        <v>664</v>
      </c>
      <c r="D46" s="538" t="str">
        <f>VLOOKUP(G46,'Baumaterialien Matériaux'!$A$10:$AD$432,30,FALSE)</f>
        <v>Tôle d'acier nickel-chrome 18/8, nue</v>
      </c>
      <c r="E46" s="1785"/>
      <c r="F46" s="538" t="str">
        <f>VLOOKUP(G46,'Baumaterialien Matériaux'!$A$10:$AD$432,7,FALSE)</f>
        <v>kg</v>
      </c>
      <c r="G46" s="926" t="s">
        <v>654</v>
      </c>
      <c r="H46" s="539">
        <v>2</v>
      </c>
      <c r="I46" s="538"/>
      <c r="J46" s="538">
        <v>40</v>
      </c>
      <c r="K46" s="539">
        <f>$H46*_xlfn.XLOOKUP($G46,'Baumaterialien Matériaux'!$A:$A,'Baumaterialien Matériaux'!V:V,0,0)</f>
        <v>29</v>
      </c>
      <c r="L46" s="539">
        <f>$H46*_xlfn.XLOOKUP($G46,'Baumaterialien Matériaux'!$A:$A,'Baumaterialien Matériaux'!Y:Y,0,0)</f>
        <v>5.4399999999999997E-2</v>
      </c>
      <c r="M46" s="539">
        <f>$H46*_xlfn.XLOOKUP($G46,'Baumaterialien Matériaux'!$A:$A,'Baumaterialien Matériaux'!AA:AA,0,0)</f>
        <v>8.2200000000000006</v>
      </c>
      <c r="N46" s="539">
        <f>$H46*_xlfn.XLOOKUP($G46,'Baumaterialien Matériaux'!$A:$A,'Baumaterialien Matériaux'!AB:AB,0,0)</f>
        <v>1.3860000000000001E-2</v>
      </c>
      <c r="O46" s="539">
        <f>$H46*_xlfn.XLOOKUP($G46,'Baumaterialien Matériaux'!$A:$A,'Baumaterialien Matériaux'!AC:AC,0,0)*44/12</f>
        <v>0</v>
      </c>
      <c r="P46" s="539">
        <f>$H46*_xlfn.XLOOKUP($G46,'Baumaterialien Matériaux'!$A:$A,'Baumaterialien Matériaux'!AG:AG,0,0)</f>
        <v>0</v>
      </c>
      <c r="Q46" s="539">
        <f>$H46*_xlfn.XLOOKUP($G46,'Baumaterialien Matériaux'!$A:$A,'Baumaterialien Matériaux'!AH:AH,0,0)</f>
        <v>0</v>
      </c>
      <c r="V46" s="1785">
        <f t="shared" si="0"/>
        <v>0</v>
      </c>
    </row>
    <row r="47" spans="1:86" s="540" customFormat="1">
      <c r="B47" s="1936"/>
      <c r="C47" s="538" t="s">
        <v>639</v>
      </c>
      <c r="D47" s="538" t="str">
        <f>VLOOKUP(G47,'Baumaterialien Matériaux'!$A$10:$AD$432,30,FALSE)</f>
        <v xml:space="preserve">Polyamide (PA) renforcé par des fibres de verre </v>
      </c>
      <c r="E47" s="1785"/>
      <c r="F47" s="538" t="str">
        <f>VLOOKUP(G47,'Baumaterialien Matériaux'!$A$10:$AD$432,7,FALSE)</f>
        <v>kg</v>
      </c>
      <c r="G47" s="927" t="s">
        <v>640</v>
      </c>
      <c r="H47" s="539">
        <v>0.12</v>
      </c>
      <c r="I47" s="538"/>
      <c r="J47" s="538">
        <v>40</v>
      </c>
      <c r="K47" s="539">
        <f>$H47*_xlfn.XLOOKUP($G47,'Baumaterialien Matériaux'!$A:$A,'Baumaterialien Matériaux'!V:V,0,0)</f>
        <v>4.7519999999999998</v>
      </c>
      <c r="L47" s="539">
        <f>$H47*_xlfn.XLOOKUP($G47,'Baumaterialien Matériaux'!$A:$A,'Baumaterialien Matériaux'!Y:Y,0,0)</f>
        <v>8.2439999999999999E-2</v>
      </c>
      <c r="M47" s="539">
        <f>$H47*_xlfn.XLOOKUP($G47,'Baumaterialien Matériaux'!$A:$A,'Baumaterialien Matériaux'!AA:AA,0,0)</f>
        <v>1.0668</v>
      </c>
      <c r="N47" s="539">
        <f>$H47*_xlfn.XLOOKUP($G47,'Baumaterialien Matériaux'!$A:$A,'Baumaterialien Matériaux'!AB:AB,0,0)</f>
        <v>0.31440000000000001</v>
      </c>
      <c r="O47" s="539">
        <f>$H47*_xlfn.XLOOKUP($G47,'Baumaterialien Matériaux'!$A:$A,'Baumaterialien Matériaux'!AC:AC,0,0)*44/12</f>
        <v>0</v>
      </c>
      <c r="P47" s="539">
        <f>$H47*_xlfn.XLOOKUP($G47,'Baumaterialien Matériaux'!$A:$A,'Baumaterialien Matériaux'!AG:AG,0,0)</f>
        <v>0</v>
      </c>
      <c r="Q47" s="539">
        <f>$H47*_xlfn.XLOOKUP($G47,'Baumaterialien Matériaux'!$A:$A,'Baumaterialien Matériaux'!AH:AH,0,0)</f>
        <v>0</v>
      </c>
      <c r="V47" s="1785">
        <f t="shared" si="0"/>
        <v>0</v>
      </c>
    </row>
    <row r="48" spans="1:86" s="540" customFormat="1">
      <c r="B48" s="1936"/>
      <c r="C48" s="538" t="s">
        <v>665</v>
      </c>
      <c r="D48" s="538" t="str">
        <f>VLOOKUP(G48,'Baumaterialien Matériaux'!$A$10:$AD$432,30,FALSE)</f>
        <v>Voile de polyéthylène (PE)</v>
      </c>
      <c r="E48" s="1785"/>
      <c r="F48" s="538" t="str">
        <f>VLOOKUP(G48,'Baumaterialien Matériaux'!$A$10:$AD$432,7,FALSE)</f>
        <v>kg</v>
      </c>
      <c r="G48" s="928" t="s">
        <v>600</v>
      </c>
      <c r="H48" s="539">
        <v>0.22</v>
      </c>
      <c r="I48" s="538"/>
      <c r="J48" s="538">
        <v>40</v>
      </c>
      <c r="K48" s="539">
        <f>$H48*_xlfn.XLOOKUP($G48,'Baumaterialien Matériaux'!$A:$A,'Baumaterialien Matériaux'!V:V,0,0)</f>
        <v>5.6539999999999999</v>
      </c>
      <c r="L48" s="539">
        <f>$H48*_xlfn.XLOOKUP($G48,'Baumaterialien Matériaux'!$A:$A,'Baumaterialien Matériaux'!Y:Y,0,0)</f>
        <v>4.598E-2</v>
      </c>
      <c r="M48" s="539">
        <f>$H48*_xlfn.XLOOKUP($G48,'Baumaterialien Matériaux'!$A:$A,'Baumaterialien Matériaux'!AA:AA,0,0)</f>
        <v>0.6512</v>
      </c>
      <c r="N48" s="539">
        <f>$H48*_xlfn.XLOOKUP($G48,'Baumaterialien Matériaux'!$A:$A,'Baumaterialien Matériaux'!AB:AB,0,0)</f>
        <v>0.58740000000000003</v>
      </c>
      <c r="O48" s="539">
        <f>$H48*_xlfn.XLOOKUP($G48,'Baumaterialien Matériaux'!$A:$A,'Baumaterialien Matériaux'!AC:AC,0,0)*44/12</f>
        <v>0</v>
      </c>
      <c r="P48" s="539">
        <f>$H48*_xlfn.XLOOKUP($G48,'Baumaterialien Matériaux'!$A:$A,'Baumaterialien Matériaux'!AG:AG,0,0)</f>
        <v>0</v>
      </c>
      <c r="Q48" s="539">
        <f>$H48*_xlfn.XLOOKUP($G48,'Baumaterialien Matériaux'!$A:$A,'Baumaterialien Matériaux'!AH:AH,0,0)</f>
        <v>0</v>
      </c>
      <c r="V48" s="1785">
        <f t="shared" si="0"/>
        <v>0</v>
      </c>
    </row>
    <row r="49" spans="1:86" s="577" customFormat="1" ht="15.75" thickBot="1">
      <c r="A49" s="929"/>
      <c r="B49" s="930"/>
      <c r="G49" s="579"/>
      <c r="H49" s="609"/>
      <c r="J49" s="589">
        <v>40</v>
      </c>
      <c r="K49" s="581">
        <f t="shared" ref="K49:L49" si="18">SUM(K44:K48)</f>
        <v>356.81080000000003</v>
      </c>
      <c r="L49" s="581">
        <f t="shared" si="18"/>
        <v>17.180579999999999</v>
      </c>
      <c r="M49" s="581">
        <f>SUM(M44:M48)</f>
        <v>123.8852</v>
      </c>
      <c r="N49" s="581">
        <f>SUM(N44:N48)</f>
        <v>5.0609399999999996</v>
      </c>
      <c r="O49" s="581">
        <f>SUM(O44:O48)</f>
        <v>0</v>
      </c>
      <c r="P49" s="581">
        <f>SUM(P44:P48)</f>
        <v>0</v>
      </c>
      <c r="Q49" s="581">
        <f>SUM(Q44:Q48)</f>
        <v>0</v>
      </c>
      <c r="R49" s="540"/>
      <c r="S49" s="540">
        <f>(M49+N49)/J48</f>
        <v>3.2236534999999997</v>
      </c>
      <c r="T49" s="540">
        <v>2.54</v>
      </c>
      <c r="U49" s="540"/>
      <c r="V49" s="1785">
        <f t="shared" si="0"/>
        <v>0</v>
      </c>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c r="BX49" s="540"/>
      <c r="BY49" s="540"/>
      <c r="BZ49" s="540"/>
      <c r="CA49" s="540"/>
      <c r="CB49" s="540"/>
      <c r="CC49" s="540"/>
      <c r="CD49" s="540"/>
      <c r="CE49" s="540"/>
      <c r="CF49" s="540"/>
      <c r="CG49" s="540"/>
      <c r="CH49" s="540"/>
    </row>
    <row r="50" spans="1:86" ht="15" thickTop="1">
      <c r="K50" s="126"/>
      <c r="L50" s="126"/>
      <c r="M50" s="126"/>
      <c r="N50" s="126"/>
      <c r="O50" s="126"/>
      <c r="P50" s="126"/>
      <c r="Q50" s="126"/>
      <c r="V50" s="1785">
        <f t="shared" si="0"/>
        <v>0</v>
      </c>
    </row>
    <row r="51" spans="1:86" s="149" customFormat="1">
      <c r="A51" s="591" t="s">
        <v>666</v>
      </c>
      <c r="B51" s="1937" t="s">
        <v>667</v>
      </c>
      <c r="C51" s="166" t="s">
        <v>668</v>
      </c>
      <c r="D51" s="166" t="str">
        <f>VLOOKUP(G51,'Baumaterialien Matériaux'!$A$10:$AD$432,30,FALSE)</f>
        <v>Dalle de fibrociment, grande</v>
      </c>
      <c r="E51" s="1403"/>
      <c r="F51" s="166" t="str">
        <f>VLOOKUP(G51,'Baumaterialien Matériaux'!$A$10:$AD$432,7,FALSE)</f>
        <v>kg</v>
      </c>
      <c r="G51" s="279" t="s">
        <v>669</v>
      </c>
      <c r="H51" s="167">
        <v>15.7</v>
      </c>
      <c r="I51" s="166"/>
      <c r="J51" s="532">
        <v>40</v>
      </c>
      <c r="K51" s="839">
        <f>$H51*_xlfn.XLOOKUP($G51,'Baumaterialien Matériaux'!$A:$A,'Baumaterialien Matériaux'!V:V,0,0)</f>
        <v>45.058999999999997</v>
      </c>
      <c r="L51" s="839">
        <f>$H51*_xlfn.XLOOKUP($G51,'Baumaterialien Matériaux'!$A:$A,'Baumaterialien Matériaux'!Y:Y,0,0)</f>
        <v>0.82895999999999992</v>
      </c>
      <c r="M51" s="839">
        <f>$H51*_xlfn.XLOOKUP($G51,'Baumaterialien Matériaux'!$A:$A,'Baumaterialien Matériaux'!AA:AA,0,0)</f>
        <v>16.013999999999999</v>
      </c>
      <c r="N51" s="839">
        <f>$H51*_xlfn.XLOOKUP($G51,'Baumaterialien Matériaux'!$A:$A,'Baumaterialien Matériaux'!AB:AB,0,0)</f>
        <v>0.20723999999999998</v>
      </c>
      <c r="O51" s="839">
        <f>$H51*_xlfn.XLOOKUP($G51,'Baumaterialien Matériaux'!$A:$A,'Baumaterialien Matériaux'!AC:AC,0,0)*44/12</f>
        <v>0</v>
      </c>
      <c r="P51" s="839">
        <f>$H51*_xlfn.XLOOKUP($G51,'Baumaterialien Matériaux'!$A:$A,'Baumaterialien Matériaux'!AG:AG,0,0)</f>
        <v>0</v>
      </c>
      <c r="Q51" s="839">
        <f>$H51*_xlfn.XLOOKUP($G51,'Baumaterialien Matériaux'!$A:$A,'Baumaterialien Matériaux'!AH:AH,0,0)</f>
        <v>0</v>
      </c>
      <c r="R51" s="3"/>
      <c r="S51" s="3"/>
      <c r="T51" s="3"/>
      <c r="U51" s="3"/>
      <c r="V51" s="1785">
        <f t="shared" si="0"/>
        <v>0</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row>
    <row r="52" spans="1:86">
      <c r="A52" s="592"/>
      <c r="B52" s="1938"/>
      <c r="C52" s="166" t="s">
        <v>670</v>
      </c>
      <c r="D52" s="166" t="str">
        <f>VLOOKUP(G52,'Baumaterialien Matériaux'!$A$10:$AD$432,30,FALSE)</f>
        <v>Profil d'aluminium, nu</v>
      </c>
      <c r="E52" s="1403"/>
      <c r="F52" s="166" t="str">
        <f>VLOOKUP(G52,'Baumaterialien Matériaux'!$A$10:$AD$432,7,FALSE)</f>
        <v>kg</v>
      </c>
      <c r="G52" s="279" t="s">
        <v>671</v>
      </c>
      <c r="H52" s="167">
        <v>2.2076923076923078</v>
      </c>
      <c r="I52" s="166"/>
      <c r="J52" s="532">
        <v>40</v>
      </c>
      <c r="K52" s="839">
        <f>$H52*_xlfn.XLOOKUP($G52,'Baumaterialien Matériaux'!$A:$A,'Baumaterialien Matériaux'!V:V,0,0)</f>
        <v>56.516923076923085</v>
      </c>
      <c r="L52" s="839">
        <f>$H52*_xlfn.XLOOKUP($G52,'Baumaterialien Matériaux'!$A:$A,'Baumaterialien Matériaux'!Y:Y,0,0)</f>
        <v>6.9321538461538462E-2</v>
      </c>
      <c r="M52" s="839">
        <f>$H52*_xlfn.XLOOKUP($G52,'Baumaterialien Matériaux'!$A:$A,'Baumaterialien Matériaux'!AA:AA,0,0)</f>
        <v>12.561769230769233</v>
      </c>
      <c r="N52" s="839">
        <f>$H52*_xlfn.XLOOKUP($G52,'Baumaterialien Matériaux'!$A:$A,'Baumaterialien Matériaux'!AB:AB,0,0)</f>
        <v>1.7484923076923078E-2</v>
      </c>
      <c r="O52" s="839">
        <f>$H52*_xlfn.XLOOKUP($G52,'Baumaterialien Matériaux'!$A:$A,'Baumaterialien Matériaux'!AC:AC,0,0)*44/12</f>
        <v>0</v>
      </c>
      <c r="P52" s="839">
        <f>$H52*_xlfn.XLOOKUP($G52,'Baumaterialien Matériaux'!$A:$A,'Baumaterialien Matériaux'!AG:AG,0,0)</f>
        <v>0</v>
      </c>
      <c r="Q52" s="839">
        <f>$H52*_xlfn.XLOOKUP($G52,'Baumaterialien Matériaux'!$A:$A,'Baumaterialien Matériaux'!AH:AH,0,0)</f>
        <v>0</v>
      </c>
      <c r="V52" s="1785">
        <f t="shared" si="0"/>
        <v>0</v>
      </c>
    </row>
    <row r="53" spans="1:86">
      <c r="A53" s="592"/>
      <c r="B53" s="1938"/>
      <c r="C53" s="166" t="s">
        <v>672</v>
      </c>
      <c r="D53" s="166" t="str">
        <f>VLOOKUP(G53,'Baumaterialien Matériaux'!$A$10:$AD$432,30,FALSE)</f>
        <v>Tôle d'acier nickel-chrome 18/8, nue</v>
      </c>
      <c r="E53" s="1403"/>
      <c r="F53" s="166" t="str">
        <f>VLOOKUP(G53,'Baumaterialien Matériaux'!$A$10:$AD$432,7,FALSE)</f>
        <v>kg</v>
      </c>
      <c r="G53" s="279" t="s">
        <v>654</v>
      </c>
      <c r="H53" s="167">
        <v>4.9000000000000002E-2</v>
      </c>
      <c r="I53" s="166"/>
      <c r="J53" s="532">
        <v>40</v>
      </c>
      <c r="K53" s="839">
        <f>$H53*_xlfn.XLOOKUP($G53,'Baumaterialien Matériaux'!$A:$A,'Baumaterialien Matériaux'!V:V,0,0)</f>
        <v>0.71050000000000002</v>
      </c>
      <c r="L53" s="839">
        <f>$H53*_xlfn.XLOOKUP($G53,'Baumaterialien Matériaux'!$A:$A,'Baumaterialien Matériaux'!Y:Y,0,0)</f>
        <v>1.3327999999999999E-3</v>
      </c>
      <c r="M53" s="839">
        <f>$H53*_xlfn.XLOOKUP($G53,'Baumaterialien Matériaux'!$A:$A,'Baumaterialien Matériaux'!AA:AA,0,0)</f>
        <v>0.20139000000000001</v>
      </c>
      <c r="N53" s="839">
        <f>$H53*_xlfn.XLOOKUP($G53,'Baumaterialien Matériaux'!$A:$A,'Baumaterialien Matériaux'!AB:AB,0,0)</f>
        <v>3.3957000000000003E-4</v>
      </c>
      <c r="O53" s="839">
        <f>$H53*_xlfn.XLOOKUP($G53,'Baumaterialien Matériaux'!$A:$A,'Baumaterialien Matériaux'!AC:AC,0,0)*44/12</f>
        <v>0</v>
      </c>
      <c r="P53" s="839">
        <f>$H53*_xlfn.XLOOKUP($G53,'Baumaterialien Matériaux'!$A:$A,'Baumaterialien Matériaux'!AG:AG,0,0)</f>
        <v>0</v>
      </c>
      <c r="Q53" s="839">
        <f>$H53*_xlfn.XLOOKUP($G53,'Baumaterialien Matériaux'!$A:$A,'Baumaterialien Matériaux'!AH:AH,0,0)</f>
        <v>0</v>
      </c>
      <c r="V53" s="1785">
        <f t="shared" si="0"/>
        <v>0</v>
      </c>
    </row>
    <row r="54" spans="1:86">
      <c r="A54" s="592"/>
      <c r="B54" s="1938"/>
      <c r="C54" s="166" t="s">
        <v>673</v>
      </c>
      <c r="D54" s="166" t="str">
        <f>VLOOKUP(G54,'Baumaterialien Matériaux'!$A$10:$AD$432,30,FALSE)</f>
        <v>Chlorure de polyvinyle (PVC)</v>
      </c>
      <c r="E54" s="1403"/>
      <c r="F54" s="166" t="str">
        <f>VLOOKUP(G54,'Baumaterialien Matériaux'!$A$10:$AD$432,7,FALSE)</f>
        <v>kg</v>
      </c>
      <c r="G54" s="279" t="s">
        <v>674</v>
      </c>
      <c r="H54" s="167">
        <v>1.2E-2</v>
      </c>
      <c r="I54" s="166"/>
      <c r="J54" s="532">
        <v>40</v>
      </c>
      <c r="K54" s="839">
        <f>$H54*_xlfn.XLOOKUP($G54,'Baumaterialien Matériaux'!$A:$A,'Baumaterialien Matériaux'!V:V,0,0)</f>
        <v>0.2208</v>
      </c>
      <c r="L54" s="839">
        <f>$H54*_xlfn.XLOOKUP($G54,'Baumaterialien Matériaux'!$A:$A,'Baumaterialien Matériaux'!Y:Y,0,0)</f>
        <v>1.3200000000000002E-2</v>
      </c>
      <c r="M54" s="839">
        <f>$H54*_xlfn.XLOOKUP($G54,'Baumaterialien Matériaux'!$A:$A,'Baumaterialien Matériaux'!AA:AA,0,0)</f>
        <v>2.8559999999999999E-2</v>
      </c>
      <c r="N54" s="839">
        <f>$H54*_xlfn.XLOOKUP($G54,'Baumaterialien Matériaux'!$A:$A,'Baumaterialien Matériaux'!AB:AB,0,0)</f>
        <v>2.52E-2</v>
      </c>
      <c r="O54" s="839">
        <f>$H54*_xlfn.XLOOKUP($G54,'Baumaterialien Matériaux'!$A:$A,'Baumaterialien Matériaux'!AC:AC,0,0)*44/12</f>
        <v>0</v>
      </c>
      <c r="P54" s="839">
        <f>$H54*_xlfn.XLOOKUP($G54,'Baumaterialien Matériaux'!$A:$A,'Baumaterialien Matériaux'!AG:AG,0,0)</f>
        <v>0</v>
      </c>
      <c r="Q54" s="839">
        <f>$H54*_xlfn.XLOOKUP($G54,'Baumaterialien Matériaux'!$A:$A,'Baumaterialien Matériaux'!AH:AH,0,0)</f>
        <v>0</v>
      </c>
      <c r="V54" s="1785">
        <f t="shared" si="0"/>
        <v>0</v>
      </c>
    </row>
    <row r="55" spans="1:86">
      <c r="A55" s="592"/>
      <c r="B55" s="1938"/>
      <c r="C55" s="166" t="s">
        <v>639</v>
      </c>
      <c r="D55" s="166" t="str">
        <f>VLOOKUP(G55,'Baumaterialien Matériaux'!$A$10:$AD$432,30,FALSE)</f>
        <v xml:space="preserve">Polyamide (PA) renforcé par des fibres de verre </v>
      </c>
      <c r="E55" s="1403"/>
      <c r="F55" s="166" t="str">
        <f>VLOOKUP(G55,'Baumaterialien Matériaux'!$A$10:$AD$432,7,FALSE)</f>
        <v>kg</v>
      </c>
      <c r="G55" s="279" t="s">
        <v>640</v>
      </c>
      <c r="H55" s="167">
        <v>0.12</v>
      </c>
      <c r="I55" s="166"/>
      <c r="J55" s="532">
        <v>40</v>
      </c>
      <c r="K55" s="839">
        <f>$H55*_xlfn.XLOOKUP($G55,'Baumaterialien Matériaux'!$A:$A,'Baumaterialien Matériaux'!V:V,0,0)</f>
        <v>4.7519999999999998</v>
      </c>
      <c r="L55" s="839">
        <f>$H55*_xlfn.XLOOKUP($G55,'Baumaterialien Matériaux'!$A:$A,'Baumaterialien Matériaux'!Y:Y,0,0)</f>
        <v>8.2439999999999999E-2</v>
      </c>
      <c r="M55" s="839">
        <f>$H55*_xlfn.XLOOKUP($G55,'Baumaterialien Matériaux'!$A:$A,'Baumaterialien Matériaux'!AA:AA,0,0)</f>
        <v>1.0668</v>
      </c>
      <c r="N55" s="839">
        <f>$H55*_xlfn.XLOOKUP($G55,'Baumaterialien Matériaux'!$A:$A,'Baumaterialien Matériaux'!AB:AB,0,0)</f>
        <v>0.31440000000000001</v>
      </c>
      <c r="O55" s="839">
        <f>$H55*_xlfn.XLOOKUP($G55,'Baumaterialien Matériaux'!$A:$A,'Baumaterialien Matériaux'!AC:AC,0,0)*44/12</f>
        <v>0</v>
      </c>
      <c r="P55" s="839">
        <f>$H55*_xlfn.XLOOKUP($G55,'Baumaterialien Matériaux'!$A:$A,'Baumaterialien Matériaux'!AG:AG,0,0)</f>
        <v>0</v>
      </c>
      <c r="Q55" s="839">
        <f>$H55*_xlfn.XLOOKUP($G55,'Baumaterialien Matériaux'!$A:$A,'Baumaterialien Matériaux'!AH:AH,0,0)</f>
        <v>0</v>
      </c>
      <c r="V55" s="1785">
        <f t="shared" si="0"/>
        <v>0</v>
      </c>
    </row>
    <row r="56" spans="1:86">
      <c r="A56" s="159"/>
      <c r="B56" s="1939"/>
      <c r="C56" s="166" t="s">
        <v>659</v>
      </c>
      <c r="D56" s="166" t="str">
        <f>VLOOKUP(G56,'Baumaterialien Matériaux'!$A$10:$AD$432,30,FALSE)</f>
        <v>Voile de polyéthylène (PE)</v>
      </c>
      <c r="E56" s="1403"/>
      <c r="F56" s="166" t="str">
        <f>VLOOKUP(G56,'Baumaterialien Matériaux'!$A$10:$AD$432,7,FALSE)</f>
        <v>kg</v>
      </c>
      <c r="G56" s="279" t="s">
        <v>600</v>
      </c>
      <c r="H56" s="167">
        <v>0.22</v>
      </c>
      <c r="I56" s="166"/>
      <c r="J56" s="532">
        <v>40</v>
      </c>
      <c r="K56" s="839">
        <f>$H56*_xlfn.XLOOKUP($G56,'Baumaterialien Matériaux'!$A:$A,'Baumaterialien Matériaux'!V:V,0,0)</f>
        <v>5.6539999999999999</v>
      </c>
      <c r="L56" s="839">
        <f>$H56*_xlfn.XLOOKUP($G56,'Baumaterialien Matériaux'!$A:$A,'Baumaterialien Matériaux'!Y:Y,0,0)</f>
        <v>4.598E-2</v>
      </c>
      <c r="M56" s="839">
        <f>$H56*_xlfn.XLOOKUP($G56,'Baumaterialien Matériaux'!$A:$A,'Baumaterialien Matériaux'!AA:AA,0,0)</f>
        <v>0.6512</v>
      </c>
      <c r="N56" s="839">
        <f>$H56*_xlfn.XLOOKUP($G56,'Baumaterialien Matériaux'!$A:$A,'Baumaterialien Matériaux'!AB:AB,0,0)</f>
        <v>0.58740000000000003</v>
      </c>
      <c r="O56" s="839">
        <f>$H56*_xlfn.XLOOKUP($G56,'Baumaterialien Matériaux'!$A:$A,'Baumaterialien Matériaux'!AC:AC,0,0)*44/12</f>
        <v>0</v>
      </c>
      <c r="P56" s="839">
        <f>$H56*_xlfn.XLOOKUP($G56,'Baumaterialien Matériaux'!$A:$A,'Baumaterialien Matériaux'!AG:AG,0,0)</f>
        <v>0</v>
      </c>
      <c r="Q56" s="839">
        <f>$H56*_xlfn.XLOOKUP($G56,'Baumaterialien Matériaux'!$A:$A,'Baumaterialien Matériaux'!AH:AH,0,0)</f>
        <v>0</v>
      </c>
      <c r="V56" s="1785">
        <f t="shared" si="0"/>
        <v>0</v>
      </c>
    </row>
    <row r="57" spans="1:86" s="572" customFormat="1" ht="15.75" thickBot="1">
      <c r="A57" s="590"/>
      <c r="B57" s="576"/>
      <c r="G57" s="573"/>
      <c r="J57" s="586">
        <v>40</v>
      </c>
      <c r="K57" s="574">
        <f t="shared" ref="K57:L57" si="19">SUM(K51:K56)</f>
        <v>112.91322307692307</v>
      </c>
      <c r="L57" s="574">
        <f t="shared" si="19"/>
        <v>1.0412343384615383</v>
      </c>
      <c r="M57" s="574">
        <f>SUM(M51:M56)</f>
        <v>30.523719230769231</v>
      </c>
      <c r="N57" s="574">
        <f>SUM(N51:N56)</f>
        <v>1.152064493076923</v>
      </c>
      <c r="O57" s="574">
        <f>SUM(O51:O56)</f>
        <v>0</v>
      </c>
      <c r="P57" s="574">
        <f>SUM(P51:P56)</f>
        <v>0</v>
      </c>
      <c r="Q57" s="574">
        <f>SUM(Q51:Q56)</f>
        <v>0</v>
      </c>
      <c r="R57" s="3"/>
      <c r="S57" s="540">
        <f>(M57+N57)/J56</f>
        <v>0.79189459309615384</v>
      </c>
      <c r="T57" s="3">
        <v>1.04</v>
      </c>
      <c r="U57" s="3"/>
      <c r="V57" s="1785">
        <f t="shared" si="0"/>
        <v>0</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row>
    <row r="58" spans="1:86" ht="15" thickTop="1">
      <c r="K58" s="126"/>
      <c r="L58" s="126"/>
      <c r="M58" s="126"/>
      <c r="N58" s="126"/>
      <c r="O58" s="126"/>
      <c r="P58" s="126"/>
      <c r="Q58" s="126"/>
      <c r="V58" s="1785">
        <f t="shared" si="0"/>
        <v>0</v>
      </c>
    </row>
    <row r="59" spans="1:86" s="149" customFormat="1">
      <c r="A59" s="1096" t="s">
        <v>675</v>
      </c>
      <c r="B59" s="1907" t="s">
        <v>676</v>
      </c>
      <c r="C59" s="166" t="s">
        <v>677</v>
      </c>
      <c r="D59" s="166" t="str">
        <f>VLOOKUP(G59,'Baumaterialien Matériaux'!$A$10:$AD$432,30,FALSE)</f>
        <v>Plaque de grès dur</v>
      </c>
      <c r="E59" s="1403"/>
      <c r="F59" s="166" t="str">
        <f>VLOOKUP(G59,'Baumaterialien Matériaux'!$A$10:$AD$432,7,FALSE)</f>
        <v>kg</v>
      </c>
      <c r="G59" s="279" t="s">
        <v>678</v>
      </c>
      <c r="H59" s="167">
        <f>0.03*2500</f>
        <v>75</v>
      </c>
      <c r="I59" s="1095"/>
      <c r="J59" s="535">
        <v>40</v>
      </c>
      <c r="K59" s="843">
        <f>$H59*_xlfn.XLOOKUP($G59,'Baumaterialien Matériaux'!$A:$A,'Baumaterialien Matériaux'!V:V,0,0)</f>
        <v>16.725000000000001</v>
      </c>
      <c r="L59" s="843">
        <f>$H59*_xlfn.XLOOKUP($G59,'Baumaterialien Matériaux'!$A:$A,'Baumaterialien Matériaux'!Y:Y,0,0)</f>
        <v>3.9450000000000003</v>
      </c>
      <c r="M59" s="843">
        <f>$H59*_xlfn.XLOOKUP($G59,'Baumaterialien Matériaux'!$A:$A,'Baumaterialien Matériaux'!AA:AA,0,0)</f>
        <v>2.1</v>
      </c>
      <c r="N59" s="843">
        <f>$H59*_xlfn.XLOOKUP($G59,'Baumaterialien Matériaux'!$A:$A,'Baumaterialien Matériaux'!AB:AB,0,0)</f>
        <v>0.95250000000000001</v>
      </c>
      <c r="O59" s="843">
        <f>$H59*_xlfn.XLOOKUP($G59,'Baumaterialien Matériaux'!$A:$A,'Baumaterialien Matériaux'!AC:AC,0,0)*44/12</f>
        <v>0</v>
      </c>
      <c r="P59" s="843">
        <f>$H59*_xlfn.XLOOKUP($G59,'Baumaterialien Matériaux'!$A:$A,'Baumaterialien Matériaux'!AG:AG,0,0)</f>
        <v>0</v>
      </c>
      <c r="Q59" s="843">
        <f>$H59*_xlfn.XLOOKUP($G59,'Baumaterialien Matériaux'!$A:$A,'Baumaterialien Matériaux'!AH:AH,0,0)</f>
        <v>0</v>
      </c>
      <c r="R59" s="3"/>
      <c r="S59" s="3"/>
      <c r="T59" s="3"/>
      <c r="U59" s="3"/>
      <c r="V59" s="1785">
        <f t="shared" si="0"/>
        <v>0</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row>
    <row r="60" spans="1:86">
      <c r="A60" s="159"/>
      <c r="B60" s="1907"/>
      <c r="C60" s="166" t="s">
        <v>679</v>
      </c>
      <c r="D60" s="166" t="str">
        <f>VLOOKUP(G60,'Baumaterialien Matériaux'!$A$10:$AD$432,30,FALSE)</f>
        <v>Profil d'aluminium, nu</v>
      </c>
      <c r="E60" s="1403"/>
      <c r="F60" s="166" t="str">
        <f>VLOOKUP(G60,'Baumaterialien Matériaux'!$A$10:$AD$432,7,FALSE)</f>
        <v>kg</v>
      </c>
      <c r="G60" s="279" t="s">
        <v>671</v>
      </c>
      <c r="H60" s="167">
        <v>4.443194444444444</v>
      </c>
      <c r="J60" s="535">
        <v>40</v>
      </c>
      <c r="K60" s="843">
        <f>$H60*_xlfn.XLOOKUP($G60,'Baumaterialien Matériaux'!$A:$A,'Baumaterialien Matériaux'!V:V,0,0)</f>
        <v>113.74577777777777</v>
      </c>
      <c r="L60" s="843">
        <f>$H60*_xlfn.XLOOKUP($G60,'Baumaterialien Matériaux'!$A:$A,'Baumaterialien Matériaux'!Y:Y,0,0)</f>
        <v>0.13951630555555553</v>
      </c>
      <c r="M60" s="843">
        <f>$H60*_xlfn.XLOOKUP($G60,'Baumaterialien Matériaux'!$A:$A,'Baumaterialien Matériaux'!AA:AA,0,0)</f>
        <v>25.28177638888889</v>
      </c>
      <c r="N60" s="843">
        <f>$H60*_xlfn.XLOOKUP($G60,'Baumaterialien Matériaux'!$A:$A,'Baumaterialien Matériaux'!AB:AB,0,0)</f>
        <v>3.5190099999999995E-2</v>
      </c>
      <c r="O60" s="843">
        <f>$H60*_xlfn.XLOOKUP($G60,'Baumaterialien Matériaux'!$A:$A,'Baumaterialien Matériaux'!AC:AC,0,0)*44/12</f>
        <v>0</v>
      </c>
      <c r="P60" s="843">
        <f>$H60*_xlfn.XLOOKUP($G60,'Baumaterialien Matériaux'!$A:$A,'Baumaterialien Matériaux'!AG:AG,0,0)</f>
        <v>0</v>
      </c>
      <c r="Q60" s="843">
        <f>$H60*_xlfn.XLOOKUP($G60,'Baumaterialien Matériaux'!$A:$A,'Baumaterialien Matériaux'!AH:AH,0,0)</f>
        <v>0</v>
      </c>
      <c r="V60" s="1785">
        <f t="shared" si="0"/>
        <v>0</v>
      </c>
    </row>
    <row r="61" spans="1:86" ht="21" customHeight="1">
      <c r="A61" s="159"/>
      <c r="B61" s="1907"/>
      <c r="C61" s="166" t="s">
        <v>639</v>
      </c>
      <c r="D61" s="166" t="str">
        <f>VLOOKUP(G61,'Baumaterialien Matériaux'!$A$10:$AD$432,30,FALSE)</f>
        <v xml:space="preserve">Polyamide (PA) renforcé par des fibres de verre </v>
      </c>
      <c r="E61" s="1403"/>
      <c r="F61" s="166" t="str">
        <f>VLOOKUP(G61,'Baumaterialien Matériaux'!$A$10:$AD$432,7,FALSE)</f>
        <v>kg</v>
      </c>
      <c r="G61" s="279" t="s">
        <v>640</v>
      </c>
      <c r="H61" s="167">
        <v>0.12</v>
      </c>
      <c r="J61" s="535">
        <v>40</v>
      </c>
      <c r="K61" s="843">
        <f>$H61*_xlfn.XLOOKUP($G61,'Baumaterialien Matériaux'!$A:$A,'Baumaterialien Matériaux'!V:V,0,0)</f>
        <v>4.7519999999999998</v>
      </c>
      <c r="L61" s="843">
        <f>$H61*_xlfn.XLOOKUP($G61,'Baumaterialien Matériaux'!$A:$A,'Baumaterialien Matériaux'!Y:Y,0,0)</f>
        <v>8.2439999999999999E-2</v>
      </c>
      <c r="M61" s="843">
        <f>$H61*_xlfn.XLOOKUP($G61,'Baumaterialien Matériaux'!$A:$A,'Baumaterialien Matériaux'!AA:AA,0,0)</f>
        <v>1.0668</v>
      </c>
      <c r="N61" s="843">
        <f>$H61*_xlfn.XLOOKUP($G61,'Baumaterialien Matériaux'!$A:$A,'Baumaterialien Matériaux'!AB:AB,0,0)</f>
        <v>0.31440000000000001</v>
      </c>
      <c r="O61" s="843">
        <f>$H61*_xlfn.XLOOKUP($G61,'Baumaterialien Matériaux'!$A:$A,'Baumaterialien Matériaux'!AC:AC,0,0)*44/12</f>
        <v>0</v>
      </c>
      <c r="P61" s="843">
        <f>$H61*_xlfn.XLOOKUP($G61,'Baumaterialien Matériaux'!$A:$A,'Baumaterialien Matériaux'!AG:AG,0,0)</f>
        <v>0</v>
      </c>
      <c r="Q61" s="843">
        <f>$H61*_xlfn.XLOOKUP($G61,'Baumaterialien Matériaux'!$A:$A,'Baumaterialien Matériaux'!AH:AH,0,0)</f>
        <v>0</v>
      </c>
      <c r="V61" s="1785">
        <f t="shared" si="0"/>
        <v>0</v>
      </c>
    </row>
    <row r="62" spans="1:86" ht="29.1" customHeight="1">
      <c r="A62" s="159"/>
      <c r="B62" s="1907"/>
      <c r="C62" s="166" t="s">
        <v>665</v>
      </c>
      <c r="D62" s="166" t="str">
        <f>VLOOKUP(G62,'Baumaterialien Matériaux'!$A$10:$AD$432,30,FALSE)</f>
        <v>Voile de polyéthylène (PE)</v>
      </c>
      <c r="E62" s="1403"/>
      <c r="F62" s="166" t="str">
        <f>VLOOKUP(G62,'Baumaterialien Matériaux'!$A$10:$AD$432,7,FALSE)</f>
        <v>kg</v>
      </c>
      <c r="G62" s="279" t="s">
        <v>600</v>
      </c>
      <c r="H62" s="167">
        <v>0.22</v>
      </c>
      <c r="J62" s="535">
        <v>40</v>
      </c>
      <c r="K62" s="843">
        <f>$H62*_xlfn.XLOOKUP($G62,'Baumaterialien Matériaux'!$A:$A,'Baumaterialien Matériaux'!V:V,0,0)</f>
        <v>5.6539999999999999</v>
      </c>
      <c r="L62" s="843">
        <f>$H62*_xlfn.XLOOKUP($G62,'Baumaterialien Matériaux'!$A:$A,'Baumaterialien Matériaux'!Y:Y,0,0)</f>
        <v>4.598E-2</v>
      </c>
      <c r="M62" s="843">
        <f>$H62*_xlfn.XLOOKUP($G62,'Baumaterialien Matériaux'!$A:$A,'Baumaterialien Matériaux'!AA:AA,0,0)</f>
        <v>0.6512</v>
      </c>
      <c r="N62" s="843">
        <f>$H62*_xlfn.XLOOKUP($G62,'Baumaterialien Matériaux'!$A:$A,'Baumaterialien Matériaux'!AB:AB,0,0)</f>
        <v>0.58740000000000003</v>
      </c>
      <c r="O62" s="843">
        <f>$H62*_xlfn.XLOOKUP($G62,'Baumaterialien Matériaux'!$A:$A,'Baumaterialien Matériaux'!AC:AC,0,0)*44/12</f>
        <v>0</v>
      </c>
      <c r="P62" s="843">
        <f>$H62*_xlfn.XLOOKUP($G62,'Baumaterialien Matériaux'!$A:$A,'Baumaterialien Matériaux'!AG:AG,0,0)</f>
        <v>0</v>
      </c>
      <c r="Q62" s="843">
        <f>$H62*_xlfn.XLOOKUP($G62,'Baumaterialien Matériaux'!$A:$A,'Baumaterialien Matériaux'!AH:AH,0,0)</f>
        <v>0</v>
      </c>
      <c r="V62" s="1785">
        <f t="shared" si="0"/>
        <v>0</v>
      </c>
    </row>
    <row r="63" spans="1:86" s="572" customFormat="1" ht="15.75" thickBot="1">
      <c r="A63" s="590"/>
      <c r="B63" s="576"/>
      <c r="G63" s="573"/>
      <c r="H63" s="593"/>
      <c r="J63" s="586">
        <v>40</v>
      </c>
      <c r="K63" s="574">
        <f t="shared" ref="K63:L63" si="20">SUM(K59:K62)</f>
        <v>140.87677777777779</v>
      </c>
      <c r="L63" s="574">
        <f t="shared" si="20"/>
        <v>4.212936305555556</v>
      </c>
      <c r="M63" s="574">
        <f>SUM(M59:M62)</f>
        <v>29.099776388888891</v>
      </c>
      <c r="N63" s="574">
        <f>SUM(N59:N62)</f>
        <v>1.8894901000000002</v>
      </c>
      <c r="O63" s="574">
        <f>SUM(O59:O62)</f>
        <v>0</v>
      </c>
      <c r="P63" s="574">
        <f>SUM(P59:P62)</f>
        <v>0</v>
      </c>
      <c r="Q63" s="574">
        <f>SUM(Q59:Q62)</f>
        <v>0</v>
      </c>
      <c r="R63" s="3"/>
      <c r="S63" s="540">
        <f>(M63+N63)/J62</f>
        <v>0.77473166222222223</v>
      </c>
      <c r="T63" s="3">
        <v>1.04</v>
      </c>
      <c r="U63" s="3"/>
      <c r="V63" s="1785">
        <f t="shared" si="0"/>
        <v>0</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row>
    <row r="64" spans="1:86" ht="15" thickTop="1">
      <c r="K64" s="126"/>
      <c r="L64" s="126"/>
      <c r="M64" s="126"/>
      <c r="N64" s="126"/>
      <c r="O64" s="126"/>
      <c r="P64" s="126"/>
      <c r="Q64" s="126"/>
      <c r="V64" s="1785">
        <f t="shared" si="0"/>
        <v>0</v>
      </c>
    </row>
    <row r="65" spans="1:86" s="149" customFormat="1">
      <c r="A65" s="1096" t="s">
        <v>680</v>
      </c>
      <c r="B65" s="1907" t="s">
        <v>681</v>
      </c>
      <c r="C65" s="166" t="s">
        <v>682</v>
      </c>
      <c r="D65" s="166" t="str">
        <f>VLOOKUP(G65,'Baumaterialien Matériaux'!$A$10:$AD$432,30,FALSE)</f>
        <v>Panneau de façade, en aluminium, 4 mm</v>
      </c>
      <c r="E65" s="1403"/>
      <c r="F65" s="166" t="str">
        <f>VLOOKUP(G65,'Baumaterialien Matériaux'!$A$10:$AD$432,7,FALSE)</f>
        <v>m2</v>
      </c>
      <c r="G65" s="279" t="s">
        <v>683</v>
      </c>
      <c r="H65" s="167">
        <v>1</v>
      </c>
      <c r="I65" s="166"/>
      <c r="J65" s="535">
        <v>40</v>
      </c>
      <c r="K65" s="843">
        <f>$H65*_xlfn.XLOOKUP($G65,'Baumaterialien Matériaux'!$A:$A,'Baumaterialien Matériaux'!V:V,0,0)</f>
        <v>192</v>
      </c>
      <c r="L65" s="843">
        <f>$H65*_xlfn.XLOOKUP($G65,'Baumaterialien Matériaux'!$A:$A,'Baumaterialien Matériaux'!Y:Y,0,0)</f>
        <v>0.87</v>
      </c>
      <c r="M65" s="843">
        <f>$H65*_xlfn.XLOOKUP($G65,'Baumaterialien Matériaux'!$A:$A,'Baumaterialien Matériaux'!AA:AA,0,0)</f>
        <v>35.700000000000003</v>
      </c>
      <c r="N65" s="843">
        <f>$H65*_xlfn.XLOOKUP($G65,'Baumaterialien Matériaux'!$A:$A,'Baumaterialien Matériaux'!AB:AB,0,0)</f>
        <v>7.65</v>
      </c>
      <c r="O65" s="843">
        <f>$H65*_xlfn.XLOOKUP($G65,'Baumaterialien Matériaux'!$A:$A,'Baumaterialien Matériaux'!AC:AC,0,0)*44/12</f>
        <v>0</v>
      </c>
      <c r="P65" s="843">
        <f>$H65*_xlfn.XLOOKUP($G65,'Baumaterialien Matériaux'!$A:$A,'Baumaterialien Matériaux'!AG:AG,0,0)</f>
        <v>0</v>
      </c>
      <c r="Q65" s="843">
        <f>$H65*_xlfn.XLOOKUP($G65,'Baumaterialien Matériaux'!$A:$A,'Baumaterialien Matériaux'!AH:AH,0,0)</f>
        <v>0</v>
      </c>
      <c r="R65" s="3"/>
      <c r="S65" s="3"/>
      <c r="T65" s="3"/>
      <c r="U65" s="3"/>
      <c r="V65" s="1785">
        <f t="shared" si="0"/>
        <v>0</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row>
    <row r="66" spans="1:86">
      <c r="A66" s="159"/>
      <c r="B66" s="1907"/>
      <c r="C66" s="166" t="s">
        <v>679</v>
      </c>
      <c r="D66" s="166" t="str">
        <f>VLOOKUP(G66,'Baumaterialien Matériaux'!$A$10:$AD$432,30,FALSE)</f>
        <v>Profil d'aluminium, nu</v>
      </c>
      <c r="E66" s="1403"/>
      <c r="F66" s="166" t="str">
        <f>VLOOKUP(G66,'Baumaterialien Matériaux'!$A$10:$AD$432,7,FALSE)</f>
        <v>kg</v>
      </c>
      <c r="G66" s="279" t="s">
        <v>671</v>
      </c>
      <c r="H66" s="167">
        <v>3.3583333333333298</v>
      </c>
      <c r="I66" s="166"/>
      <c r="J66" s="535">
        <v>40</v>
      </c>
      <c r="K66" s="843">
        <f>$H66*_xlfn.XLOOKUP($G66,'Baumaterialien Matériaux'!$A:$A,'Baumaterialien Matériaux'!V:V,0,0)</f>
        <v>85.973333333333244</v>
      </c>
      <c r="L66" s="843">
        <f>$H66*_xlfn.XLOOKUP($G66,'Baumaterialien Matériaux'!$A:$A,'Baumaterialien Matériaux'!Y:Y,0,0)</f>
        <v>0.10545166666666655</v>
      </c>
      <c r="M66" s="843">
        <f>$H66*_xlfn.XLOOKUP($G66,'Baumaterialien Matériaux'!$A:$A,'Baumaterialien Matériaux'!AA:AA,0,0)</f>
        <v>19.108916666666648</v>
      </c>
      <c r="N66" s="843">
        <f>$H66*_xlfn.XLOOKUP($G66,'Baumaterialien Matériaux'!$A:$A,'Baumaterialien Matériaux'!AB:AB,0,0)</f>
        <v>2.6597999999999972E-2</v>
      </c>
      <c r="O66" s="843">
        <f>$H66*_xlfn.XLOOKUP($G66,'Baumaterialien Matériaux'!$A:$A,'Baumaterialien Matériaux'!AC:AC,0,0)*44/12</f>
        <v>0</v>
      </c>
      <c r="P66" s="843">
        <f>$H66*_xlfn.XLOOKUP($G66,'Baumaterialien Matériaux'!$A:$A,'Baumaterialien Matériaux'!AG:AG,0,0)</f>
        <v>0</v>
      </c>
      <c r="Q66" s="843">
        <f>$H66*_xlfn.XLOOKUP($G66,'Baumaterialien Matériaux'!$A:$A,'Baumaterialien Matériaux'!AH:AH,0,0)</f>
        <v>0</v>
      </c>
      <c r="V66" s="1785">
        <f t="shared" si="0"/>
        <v>0</v>
      </c>
    </row>
    <row r="67" spans="1:86">
      <c r="A67" s="159"/>
      <c r="B67" s="1907"/>
      <c r="C67" s="166" t="s">
        <v>684</v>
      </c>
      <c r="D67" s="166" t="str">
        <f>VLOOKUP(G67,'Baumaterialien Matériaux'!$A$10:$AD$432,30,FALSE)</f>
        <v xml:space="preserve">Polyamide (PA) renforcé par des fibres de verre </v>
      </c>
      <c r="E67" s="1403"/>
      <c r="F67" s="166" t="str">
        <f>VLOOKUP(G67,'Baumaterialien Matériaux'!$A$10:$AD$432,7,FALSE)</f>
        <v>kg</v>
      </c>
      <c r="G67" s="279" t="s">
        <v>640</v>
      </c>
      <c r="H67" s="167">
        <v>0.12</v>
      </c>
      <c r="I67" s="166"/>
      <c r="J67" s="535">
        <v>40</v>
      </c>
      <c r="K67" s="843">
        <f>$H67*_xlfn.XLOOKUP($G67,'Baumaterialien Matériaux'!$A:$A,'Baumaterialien Matériaux'!V:V,0,0)</f>
        <v>4.7519999999999998</v>
      </c>
      <c r="L67" s="843">
        <f>$H67*_xlfn.XLOOKUP($G67,'Baumaterialien Matériaux'!$A:$A,'Baumaterialien Matériaux'!Y:Y,0,0)</f>
        <v>8.2439999999999999E-2</v>
      </c>
      <c r="M67" s="843">
        <f>$H67*_xlfn.XLOOKUP($G67,'Baumaterialien Matériaux'!$A:$A,'Baumaterialien Matériaux'!AA:AA,0,0)</f>
        <v>1.0668</v>
      </c>
      <c r="N67" s="843">
        <f>$H67*_xlfn.XLOOKUP($G67,'Baumaterialien Matériaux'!$A:$A,'Baumaterialien Matériaux'!AB:AB,0,0)</f>
        <v>0.31440000000000001</v>
      </c>
      <c r="O67" s="843">
        <f>$H67*_xlfn.XLOOKUP($G67,'Baumaterialien Matériaux'!$A:$A,'Baumaterialien Matériaux'!AC:AC,0,0)*44/12</f>
        <v>0</v>
      </c>
      <c r="P67" s="843">
        <f>$H67*_xlfn.XLOOKUP($G67,'Baumaterialien Matériaux'!$A:$A,'Baumaterialien Matériaux'!AG:AG,0,0)</f>
        <v>0</v>
      </c>
      <c r="Q67" s="843">
        <f>$H67*_xlfn.XLOOKUP($G67,'Baumaterialien Matériaux'!$A:$A,'Baumaterialien Matériaux'!AH:AH,0,0)</f>
        <v>0</v>
      </c>
      <c r="V67" s="1785">
        <f t="shared" si="0"/>
        <v>0</v>
      </c>
    </row>
    <row r="68" spans="1:86">
      <c r="A68" s="159"/>
      <c r="B68" s="1907"/>
      <c r="C68" s="166" t="s">
        <v>659</v>
      </c>
      <c r="D68" s="166" t="str">
        <f>VLOOKUP(G68,'Baumaterialien Matériaux'!$A$10:$AD$432,30,FALSE)</f>
        <v>Voile de polyéthylène (PE)</v>
      </c>
      <c r="E68" s="1403"/>
      <c r="F68" s="166" t="str">
        <f>VLOOKUP(G68,'Baumaterialien Matériaux'!$A$10:$AD$432,7,FALSE)</f>
        <v>kg</v>
      </c>
      <c r="G68" s="279" t="s">
        <v>600</v>
      </c>
      <c r="H68" s="167">
        <v>0.22</v>
      </c>
      <c r="I68" s="166"/>
      <c r="J68" s="535">
        <v>40</v>
      </c>
      <c r="K68" s="843">
        <f>$H68*_xlfn.XLOOKUP($G68,'Baumaterialien Matériaux'!$A:$A,'Baumaterialien Matériaux'!V:V,0,0)</f>
        <v>5.6539999999999999</v>
      </c>
      <c r="L68" s="843">
        <f>$H68*_xlfn.XLOOKUP($G68,'Baumaterialien Matériaux'!$A:$A,'Baumaterialien Matériaux'!Y:Y,0,0)</f>
        <v>4.598E-2</v>
      </c>
      <c r="M68" s="843">
        <f>$H68*_xlfn.XLOOKUP($G68,'Baumaterialien Matériaux'!$A:$A,'Baumaterialien Matériaux'!AA:AA,0,0)</f>
        <v>0.6512</v>
      </c>
      <c r="N68" s="843">
        <f>$H68*_xlfn.XLOOKUP($G68,'Baumaterialien Matériaux'!$A:$A,'Baumaterialien Matériaux'!AB:AB,0,0)</f>
        <v>0.58740000000000003</v>
      </c>
      <c r="O68" s="843">
        <f>$H68*_xlfn.XLOOKUP($G68,'Baumaterialien Matériaux'!$A:$A,'Baumaterialien Matériaux'!AC:AC,0,0)*44/12</f>
        <v>0</v>
      </c>
      <c r="P68" s="843">
        <f>$H68*_xlfn.XLOOKUP($G68,'Baumaterialien Matériaux'!$A:$A,'Baumaterialien Matériaux'!AG:AG,0,0)</f>
        <v>0</v>
      </c>
      <c r="Q68" s="843">
        <f>$H68*_xlfn.XLOOKUP($G68,'Baumaterialien Matériaux'!$A:$A,'Baumaterialien Matériaux'!AH:AH,0,0)</f>
        <v>0</v>
      </c>
      <c r="V68" s="1785">
        <f t="shared" si="0"/>
        <v>0</v>
      </c>
    </row>
    <row r="69" spans="1:86" s="572" customFormat="1" ht="15.75" thickBot="1">
      <c r="A69" s="590"/>
      <c r="B69" s="576"/>
      <c r="G69" s="573"/>
      <c r="J69" s="586">
        <v>40</v>
      </c>
      <c r="K69" s="574">
        <f t="shared" ref="K69:L69" si="21">SUM(K65:K68)</f>
        <v>288.37933333333325</v>
      </c>
      <c r="L69" s="574">
        <f t="shared" si="21"/>
        <v>1.1038716666666666</v>
      </c>
      <c r="M69" s="574">
        <f>SUM(M65:M68)</f>
        <v>56.526916666666651</v>
      </c>
      <c r="N69" s="574">
        <f>SUM(N65:N68)</f>
        <v>8.578398</v>
      </c>
      <c r="O69" s="574">
        <f>SUM(O65:O68)</f>
        <v>0</v>
      </c>
      <c r="P69" s="574">
        <f>SUM(P65:P68)</f>
        <v>0</v>
      </c>
      <c r="Q69" s="574">
        <f>SUM(Q65:Q68)</f>
        <v>0</v>
      </c>
      <c r="R69" s="3"/>
      <c r="S69" s="540">
        <f>(M69+N69)/J68</f>
        <v>1.6276328666666664</v>
      </c>
      <c r="T69" s="3">
        <v>2.54</v>
      </c>
      <c r="U69" s="3"/>
      <c r="V69" s="1785">
        <f t="shared" ref="V69:V132" si="22">IFERROR(E69/U69,0)</f>
        <v>0</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row r="70" spans="1:86" ht="15" thickTop="1">
      <c r="K70" s="126"/>
      <c r="L70" s="126"/>
      <c r="M70" s="126"/>
      <c r="N70" s="126"/>
      <c r="O70" s="126"/>
      <c r="P70" s="126"/>
      <c r="Q70" s="126"/>
      <c r="V70" s="1785">
        <f t="shared" si="22"/>
        <v>0</v>
      </c>
    </row>
    <row r="71" spans="1:86" s="149" customFormat="1">
      <c r="A71" s="1096" t="s">
        <v>685</v>
      </c>
      <c r="B71" s="1907" t="s">
        <v>686</v>
      </c>
      <c r="C71" s="166" t="s">
        <v>687</v>
      </c>
      <c r="D71" s="166" t="str">
        <f>VLOOKUP(G71,'Baumaterialien Matériaux'!$A$10:$AD$432,30,FALSE)</f>
        <v>Verre plat, enduit</v>
      </c>
      <c r="E71" s="1403"/>
      <c r="F71" s="166" t="str">
        <f>VLOOKUP(G71,'Baumaterialien Matériaux'!$A$10:$AD$432,7,FALSE)</f>
        <v>kg</v>
      </c>
      <c r="G71" s="279" t="s">
        <v>688</v>
      </c>
      <c r="H71" s="167">
        <v>25</v>
      </c>
      <c r="I71" s="166"/>
      <c r="J71" s="535">
        <v>40</v>
      </c>
      <c r="K71" s="843">
        <f>$H71*_xlfn.XLOOKUP($G71,'Baumaterialien Matériaux'!$A:$A,'Baumaterialien Matériaux'!V:V,0,0)</f>
        <v>113.25</v>
      </c>
      <c r="L71" s="843">
        <f>$H71*_xlfn.XLOOKUP($G71,'Baumaterialien Matériaux'!$A:$A,'Baumaterialien Matériaux'!Y:Y,0,0)</f>
        <v>2.7250000000000001</v>
      </c>
      <c r="M71" s="843">
        <f>$H71*_xlfn.XLOOKUP($G71,'Baumaterialien Matériaux'!$A:$A,'Baumaterialien Matériaux'!AA:AA,0,0)</f>
        <v>29.5</v>
      </c>
      <c r="N71" s="843">
        <f>$H71*_xlfn.XLOOKUP($G71,'Baumaterialien Matériaux'!$A:$A,'Baumaterialien Matériaux'!AB:AB,0,0)</f>
        <v>0.47749999999999998</v>
      </c>
      <c r="O71" s="843">
        <f>$H71*_xlfn.XLOOKUP($G71,'Baumaterialien Matériaux'!$A:$A,'Baumaterialien Matériaux'!AC:AC,0,0)*44/12</f>
        <v>0</v>
      </c>
      <c r="P71" s="843">
        <f>$H71*_xlfn.XLOOKUP($G71,'Baumaterialien Matériaux'!$A:$A,'Baumaterialien Matériaux'!AG:AG,0,0)</f>
        <v>0</v>
      </c>
      <c r="Q71" s="843">
        <f>$H71*_xlfn.XLOOKUP($G71,'Baumaterialien Matériaux'!$A:$A,'Baumaterialien Matériaux'!AH:AH,0,0)</f>
        <v>0</v>
      </c>
      <c r="R71" s="3"/>
      <c r="S71" s="3"/>
      <c r="T71" s="3"/>
      <c r="U71" s="3"/>
      <c r="V71" s="1785">
        <f t="shared" si="22"/>
        <v>0</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row>
    <row r="72" spans="1:86">
      <c r="A72" s="159"/>
      <c r="B72" s="1907"/>
      <c r="C72" s="166" t="s">
        <v>679</v>
      </c>
      <c r="D72" s="166" t="str">
        <f>VLOOKUP(G72,'Baumaterialien Matériaux'!$A$10:$AD$432,30,FALSE)</f>
        <v>Profil d'aluminium, nu</v>
      </c>
      <c r="E72" s="1403"/>
      <c r="F72" s="166" t="str">
        <f>VLOOKUP(G72,'Baumaterialien Matériaux'!$A$10:$AD$432,7,FALSE)</f>
        <v>kg</v>
      </c>
      <c r="G72" s="279" t="s">
        <v>671</v>
      </c>
      <c r="H72" s="167">
        <v>4.443194444444444</v>
      </c>
      <c r="I72" s="166"/>
      <c r="J72" s="535">
        <v>40</v>
      </c>
      <c r="K72" s="843">
        <f>$H72*_xlfn.XLOOKUP($G72,'Baumaterialien Matériaux'!$A:$A,'Baumaterialien Matériaux'!V:V,0,0)</f>
        <v>113.74577777777777</v>
      </c>
      <c r="L72" s="843">
        <f>$H72*_xlfn.XLOOKUP($G72,'Baumaterialien Matériaux'!$A:$A,'Baumaterialien Matériaux'!Y:Y,0,0)</f>
        <v>0.13951630555555553</v>
      </c>
      <c r="M72" s="843">
        <f>$H72*_xlfn.XLOOKUP($G72,'Baumaterialien Matériaux'!$A:$A,'Baumaterialien Matériaux'!AA:AA,0,0)</f>
        <v>25.28177638888889</v>
      </c>
      <c r="N72" s="843">
        <f>$H72*_xlfn.XLOOKUP($G72,'Baumaterialien Matériaux'!$A:$A,'Baumaterialien Matériaux'!AB:AB,0,0)</f>
        <v>3.5190099999999995E-2</v>
      </c>
      <c r="O72" s="843">
        <f>$H72*_xlfn.XLOOKUP($G72,'Baumaterialien Matériaux'!$A:$A,'Baumaterialien Matériaux'!AC:AC,0,0)*44/12</f>
        <v>0</v>
      </c>
      <c r="P72" s="843">
        <f>$H72*_xlfn.XLOOKUP($G72,'Baumaterialien Matériaux'!$A:$A,'Baumaterialien Matériaux'!AG:AG,0,0)</f>
        <v>0</v>
      </c>
      <c r="Q72" s="843">
        <f>$H72*_xlfn.XLOOKUP($G72,'Baumaterialien Matériaux'!$A:$A,'Baumaterialien Matériaux'!AH:AH,0,0)</f>
        <v>0</v>
      </c>
      <c r="V72" s="1785">
        <f t="shared" si="22"/>
        <v>0</v>
      </c>
    </row>
    <row r="73" spans="1:86">
      <c r="A73" s="159"/>
      <c r="B73" s="1907"/>
      <c r="C73" s="166" t="s">
        <v>639</v>
      </c>
      <c r="D73" s="166" t="str">
        <f>VLOOKUP(G73,'Baumaterialien Matériaux'!$A$10:$AD$432,30,FALSE)</f>
        <v xml:space="preserve">Polyamide (PA) renforcé par des fibres de verre </v>
      </c>
      <c r="E73" s="1403"/>
      <c r="F73" s="166" t="str">
        <f>VLOOKUP(G73,'Baumaterialien Matériaux'!$A$10:$AD$432,7,FALSE)</f>
        <v>kg</v>
      </c>
      <c r="G73" s="279" t="s">
        <v>640</v>
      </c>
      <c r="H73" s="167">
        <v>0.12</v>
      </c>
      <c r="I73" s="166"/>
      <c r="J73" s="535">
        <v>40</v>
      </c>
      <c r="K73" s="843">
        <f>$H73*_xlfn.XLOOKUP($G73,'Baumaterialien Matériaux'!$A:$A,'Baumaterialien Matériaux'!V:V,0,0)</f>
        <v>4.7519999999999998</v>
      </c>
      <c r="L73" s="843">
        <f>$H73*_xlfn.XLOOKUP($G73,'Baumaterialien Matériaux'!$A:$A,'Baumaterialien Matériaux'!Y:Y,0,0)</f>
        <v>8.2439999999999999E-2</v>
      </c>
      <c r="M73" s="843">
        <f>$H73*_xlfn.XLOOKUP($G73,'Baumaterialien Matériaux'!$A:$A,'Baumaterialien Matériaux'!AA:AA,0,0)</f>
        <v>1.0668</v>
      </c>
      <c r="N73" s="843">
        <f>$H73*_xlfn.XLOOKUP($G73,'Baumaterialien Matériaux'!$A:$A,'Baumaterialien Matériaux'!AB:AB,0,0)</f>
        <v>0.31440000000000001</v>
      </c>
      <c r="O73" s="843">
        <f>$H73*_xlfn.XLOOKUP($G73,'Baumaterialien Matériaux'!$A:$A,'Baumaterialien Matériaux'!AC:AC,0,0)*44/12</f>
        <v>0</v>
      </c>
      <c r="P73" s="843">
        <f>$H73*_xlfn.XLOOKUP($G73,'Baumaterialien Matériaux'!$A:$A,'Baumaterialien Matériaux'!AG:AG,0,0)</f>
        <v>0</v>
      </c>
      <c r="Q73" s="843">
        <f>$H73*_xlfn.XLOOKUP($G73,'Baumaterialien Matériaux'!$A:$A,'Baumaterialien Matériaux'!AH:AH,0,0)</f>
        <v>0</v>
      </c>
      <c r="V73" s="1785">
        <f t="shared" si="22"/>
        <v>0</v>
      </c>
    </row>
    <row r="74" spans="1:86">
      <c r="A74" s="159"/>
      <c r="B74" s="1907"/>
      <c r="C74" s="166" t="s">
        <v>665</v>
      </c>
      <c r="D74" s="166" t="str">
        <f>VLOOKUP(G74,'Baumaterialien Matériaux'!$A$10:$AD$432,30,FALSE)</f>
        <v>Voile de polyéthylène (PE)</v>
      </c>
      <c r="E74" s="1403"/>
      <c r="F74" s="166" t="str">
        <f>VLOOKUP(G74,'Baumaterialien Matériaux'!$A$10:$AD$432,7,FALSE)</f>
        <v>kg</v>
      </c>
      <c r="G74" s="279" t="s">
        <v>600</v>
      </c>
      <c r="H74" s="167">
        <v>0.22</v>
      </c>
      <c r="I74" s="166"/>
      <c r="J74" s="535">
        <v>40</v>
      </c>
      <c r="K74" s="843">
        <f>$H74*_xlfn.XLOOKUP($G74,'Baumaterialien Matériaux'!$A:$A,'Baumaterialien Matériaux'!V:V,0,0)</f>
        <v>5.6539999999999999</v>
      </c>
      <c r="L74" s="843">
        <f>$H74*_xlfn.XLOOKUP($G74,'Baumaterialien Matériaux'!$A:$A,'Baumaterialien Matériaux'!Y:Y,0,0)</f>
        <v>4.598E-2</v>
      </c>
      <c r="M74" s="843">
        <f>$H74*_xlfn.XLOOKUP($G74,'Baumaterialien Matériaux'!$A:$A,'Baumaterialien Matériaux'!AA:AA,0,0)</f>
        <v>0.6512</v>
      </c>
      <c r="N74" s="843">
        <f>$H74*_xlfn.XLOOKUP($G74,'Baumaterialien Matériaux'!$A:$A,'Baumaterialien Matériaux'!AB:AB,0,0)</f>
        <v>0.58740000000000003</v>
      </c>
      <c r="O74" s="843">
        <f>$H74*_xlfn.XLOOKUP($G74,'Baumaterialien Matériaux'!$A:$A,'Baumaterialien Matériaux'!AC:AC,0,0)*44/12</f>
        <v>0</v>
      </c>
      <c r="P74" s="843">
        <f>$H74*_xlfn.XLOOKUP($G74,'Baumaterialien Matériaux'!$A:$A,'Baumaterialien Matériaux'!AG:AG,0,0)</f>
        <v>0</v>
      </c>
      <c r="Q74" s="843">
        <f>$H74*_xlfn.XLOOKUP($G74,'Baumaterialien Matériaux'!$A:$A,'Baumaterialien Matériaux'!AH:AH,0,0)</f>
        <v>0</v>
      </c>
      <c r="V74" s="1785">
        <f t="shared" si="22"/>
        <v>0</v>
      </c>
    </row>
    <row r="75" spans="1:86" s="572" customFormat="1" ht="15.75" thickBot="1">
      <c r="A75" s="590"/>
      <c r="B75" s="576"/>
      <c r="G75" s="573"/>
      <c r="J75" s="586">
        <v>40</v>
      </c>
      <c r="K75" s="574">
        <f t="shared" ref="K75:L75" si="23">SUM(K71:K74)</f>
        <v>237.4017777777778</v>
      </c>
      <c r="L75" s="574">
        <f t="shared" si="23"/>
        <v>2.9929363055555558</v>
      </c>
      <c r="M75" s="574">
        <f>SUM(M71:M74)</f>
        <v>56.49977638888889</v>
      </c>
      <c r="N75" s="574">
        <f>SUM(N71:N74)</f>
        <v>1.4144901000000001</v>
      </c>
      <c r="O75" s="574">
        <f>SUM(O71:O74)</f>
        <v>0</v>
      </c>
      <c r="P75" s="574">
        <f>SUM(P71:P74)</f>
        <v>0</v>
      </c>
      <c r="Q75" s="574">
        <f>SUM(Q71:Q74)</f>
        <v>0</v>
      </c>
      <c r="R75" s="3"/>
      <c r="S75" s="540">
        <f>(M75+N75)/J74</f>
        <v>1.4478566622222222</v>
      </c>
      <c r="T75" s="3"/>
      <c r="U75" s="3"/>
      <c r="V75" s="1785">
        <f t="shared" si="22"/>
        <v>0</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row>
    <row r="76" spans="1:86" ht="15.75" thickTop="1">
      <c r="A76" s="159"/>
      <c r="B76" s="618"/>
      <c r="J76" s="1085"/>
      <c r="K76" s="1086"/>
      <c r="L76" s="1086"/>
      <c r="M76" s="1086"/>
      <c r="N76" s="1086"/>
      <c r="O76" s="1086"/>
      <c r="P76" s="1086"/>
      <c r="Q76" s="1086"/>
      <c r="V76" s="1785">
        <f t="shared" si="22"/>
        <v>0</v>
      </c>
    </row>
    <row r="77" spans="1:86" s="149" customFormat="1">
      <c r="A77" s="1096" t="s">
        <v>689</v>
      </c>
      <c r="B77" s="1937" t="s">
        <v>690</v>
      </c>
      <c r="C77" s="166" t="s">
        <v>691</v>
      </c>
      <c r="D77" s="166" t="str">
        <f>VLOOKUP(G77,'Baumaterialien Matériaux'!$A$10:$AD$432,30,FALSE)</f>
        <v>Enduit de ciment</v>
      </c>
      <c r="E77" s="1403"/>
      <c r="F77" s="166" t="str">
        <f>VLOOKUP(G77,'Baumaterialien Matériaux'!$A$10:$AD$432,7,FALSE)</f>
        <v>kg</v>
      </c>
      <c r="G77" s="518" t="s">
        <v>625</v>
      </c>
      <c r="H77" s="167">
        <f>1550*0.01</f>
        <v>15.5</v>
      </c>
      <c r="I77" s="166"/>
      <c r="J77" s="532">
        <v>30</v>
      </c>
      <c r="K77" s="839">
        <f>$H77*_xlfn.XLOOKUP($G77,'Baumaterialien Matériaux'!$A:$A,'Baumaterialien Matériaux'!V:V,0,0)</f>
        <v>9.3309999999999995</v>
      </c>
      <c r="L77" s="839">
        <f>$H77*_xlfn.XLOOKUP($G77,'Baumaterialien Matériaux'!$A:$A,'Baumaterialien Matériaux'!Y:Y,0,0)</f>
        <v>0.81220000000000003</v>
      </c>
      <c r="M77" s="839">
        <f>$H77*_xlfn.XLOOKUP($G77,'Baumaterialien Matériaux'!$A:$A,'Baumaterialien Matériaux'!AA:AA,0,0)</f>
        <v>3.8439999999999999</v>
      </c>
      <c r="N77" s="839">
        <f>$H77*_xlfn.XLOOKUP($G77,'Baumaterialien Matériaux'!$A:$A,'Baumaterialien Matériaux'!AB:AB,0,0)</f>
        <v>0.19685</v>
      </c>
      <c r="O77" s="839">
        <f>$H77*_xlfn.XLOOKUP($G77,'Baumaterialien Matériaux'!$A:$A,'Baumaterialien Matériaux'!AC:AC,0,0)*44/12</f>
        <v>0</v>
      </c>
      <c r="P77" s="839">
        <f>$H77*_xlfn.XLOOKUP($G77,'Baumaterialien Matériaux'!$A:$A,'Baumaterialien Matériaux'!AG:AG,0,0)</f>
        <v>0</v>
      </c>
      <c r="Q77" s="839">
        <f>$H77*_xlfn.XLOOKUP($G77,'Baumaterialien Matériaux'!$A:$A,'Baumaterialien Matériaux'!AH:AH,0,0)</f>
        <v>0</v>
      </c>
      <c r="R77" s="3"/>
      <c r="S77" s="3"/>
      <c r="T77" s="3"/>
      <c r="U77" s="3"/>
      <c r="V77" s="1785">
        <f t="shared" si="22"/>
        <v>0</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row>
    <row r="78" spans="1:86">
      <c r="A78" s="159"/>
      <c r="B78" s="1938"/>
      <c r="C78" s="166" t="s">
        <v>692</v>
      </c>
      <c r="D78" s="166" t="str">
        <f>VLOOKUP(G78,'Baumaterialien Matériaux'!$A$10:$AD$432,30,FALSE)</f>
        <v>Enduit en plâtre et en ciment</v>
      </c>
      <c r="E78" s="1403"/>
      <c r="F78" s="166" t="str">
        <f>VLOOKUP(G78,'Baumaterialien Matériaux'!$A$10:$AD$432,7,FALSE)</f>
        <v>kg</v>
      </c>
      <c r="G78" s="279" t="s">
        <v>645</v>
      </c>
      <c r="H78" s="167">
        <f>1550*0.0015</f>
        <v>2.3250000000000002</v>
      </c>
      <c r="I78" s="166"/>
      <c r="J78" s="533">
        <v>30</v>
      </c>
      <c r="K78" s="840">
        <f>$H78*_xlfn.XLOOKUP($G78,'Baumaterialien Matériaux'!$A:$A,'Baumaterialien Matériaux'!V:V,0,0)</f>
        <v>1.5391500000000002</v>
      </c>
      <c r="L78" s="840">
        <f>$H78*_xlfn.XLOOKUP($G78,'Baumaterialien Matériaux'!$A:$A,'Baumaterialien Matériaux'!Y:Y,0,0)</f>
        <v>0.12183000000000001</v>
      </c>
      <c r="M78" s="840">
        <f>$H78*_xlfn.XLOOKUP($G78,'Baumaterialien Matériaux'!$A:$A,'Baumaterialien Matériaux'!AA:AA,0,0)</f>
        <v>0.58357500000000007</v>
      </c>
      <c r="N78" s="840">
        <f>$H78*_xlfn.XLOOKUP($G78,'Baumaterialien Matériaux'!$A:$A,'Baumaterialien Matériaux'!AB:AB,0,0)</f>
        <v>2.9527500000000002E-2</v>
      </c>
      <c r="O78" s="840">
        <f>$H78*_xlfn.XLOOKUP($G78,'Baumaterialien Matériaux'!$A:$A,'Baumaterialien Matériaux'!AC:AC,0,0)*44/12</f>
        <v>0</v>
      </c>
      <c r="P78" s="840">
        <f>$H78*_xlfn.XLOOKUP($G78,'Baumaterialien Matériaux'!$A:$A,'Baumaterialien Matériaux'!AG:AG,0,0)</f>
        <v>0</v>
      </c>
      <c r="Q78" s="840">
        <f>$H78*_xlfn.XLOOKUP($G78,'Baumaterialien Matériaux'!$A:$A,'Baumaterialien Matériaux'!AH:AH,0,0)</f>
        <v>0</v>
      </c>
      <c r="V78" s="1785">
        <f t="shared" si="22"/>
        <v>0</v>
      </c>
    </row>
    <row r="79" spans="1:86">
      <c r="A79" s="159"/>
      <c r="B79" s="1939"/>
      <c r="C79" s="166" t="s">
        <v>646</v>
      </c>
      <c r="D79" s="166" t="str">
        <f>VLOOKUP(G79,'Baumaterialien Matériaux'!$A$10:$AD$432,30,FALSE)</f>
        <v>Enduit, diluable à l'eau, 2 couches</v>
      </c>
      <c r="E79" s="1403"/>
      <c r="F79" s="166" t="str">
        <f>VLOOKUP(G79,'Baumaterialien Matériaux'!$A$10:$AD$432,7,FALSE)</f>
        <v>m2</v>
      </c>
      <c r="G79" s="279" t="s">
        <v>647</v>
      </c>
      <c r="H79" s="167">
        <v>1</v>
      </c>
      <c r="I79" s="166"/>
      <c r="J79" s="534">
        <v>30</v>
      </c>
      <c r="K79" s="841">
        <f>$H79*_xlfn.XLOOKUP($G79,'Baumaterialien Matériaux'!$A:$A,'Baumaterialien Matériaux'!V:V,0,0)</f>
        <v>4.1500000000000004</v>
      </c>
      <c r="L79" s="841">
        <f>$H79*_xlfn.XLOOKUP($G79,'Baumaterialien Matériaux'!$A:$A,'Baumaterialien Matériaux'!Y:Y,0,0)</f>
        <v>1.67E-2</v>
      </c>
      <c r="M79" s="841">
        <f>$H79*_xlfn.XLOOKUP($G79,'Baumaterialien Matériaux'!$A:$A,'Baumaterialien Matériaux'!AA:AA,0,0)</f>
        <v>0.64500000000000002</v>
      </c>
      <c r="N79" s="841">
        <f>$H79*_xlfn.XLOOKUP($G79,'Baumaterialien Matériaux'!$A:$A,'Baumaterialien Matériaux'!AB:AB,0,0)</f>
        <v>5.62E-2</v>
      </c>
      <c r="O79" s="841">
        <f>$H79*_xlfn.XLOOKUP($G79,'Baumaterialien Matériaux'!$A:$A,'Baumaterialien Matériaux'!AC:AC,0,0)*44/12</f>
        <v>0</v>
      </c>
      <c r="P79" s="841">
        <f>$H79*_xlfn.XLOOKUP($G79,'Baumaterialien Matériaux'!$A:$A,'Baumaterialien Matériaux'!AG:AG,0,0)</f>
        <v>0</v>
      </c>
      <c r="Q79" s="841">
        <f>$H79*_xlfn.XLOOKUP($G79,'Baumaterialien Matériaux'!$A:$A,'Baumaterialien Matériaux'!AH:AH,0,0)</f>
        <v>0</v>
      </c>
      <c r="V79" s="1785">
        <f t="shared" si="22"/>
        <v>0</v>
      </c>
    </row>
    <row r="80" spans="1:86" s="572" customFormat="1" ht="15.75" thickBot="1">
      <c r="A80" s="590"/>
      <c r="B80" s="576"/>
      <c r="G80" s="573"/>
      <c r="J80" s="586">
        <v>30</v>
      </c>
      <c r="K80" s="574">
        <f t="shared" ref="K80:L80" si="24">SUM(K77:K79)</f>
        <v>15.020149999999999</v>
      </c>
      <c r="L80" s="574">
        <f t="shared" si="24"/>
        <v>0.95073000000000008</v>
      </c>
      <c r="M80" s="574">
        <f t="shared" ref="M80:O80" si="25">SUM(M77:M79)</f>
        <v>5.0725750000000005</v>
      </c>
      <c r="N80" s="574">
        <f t="shared" si="25"/>
        <v>0.28257750000000004</v>
      </c>
      <c r="O80" s="574">
        <f t="shared" si="25"/>
        <v>0</v>
      </c>
      <c r="P80" s="574">
        <f t="shared" ref="P80:Q80" si="26">SUM(P77:P79)</f>
        <v>0</v>
      </c>
      <c r="Q80" s="574">
        <f t="shared" si="26"/>
        <v>0</v>
      </c>
      <c r="R80" s="3"/>
      <c r="S80" s="540">
        <f>(M80+N80)/J79</f>
        <v>0.17850508333333337</v>
      </c>
      <c r="T80" s="3">
        <v>0.2</v>
      </c>
      <c r="U80" s="3"/>
      <c r="V80" s="1785">
        <f t="shared" si="22"/>
        <v>0</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row>
    <row r="81" spans="1:86" ht="15" thickTop="1">
      <c r="K81" s="126"/>
      <c r="L81" s="126"/>
      <c r="M81" s="126"/>
      <c r="N81" s="126"/>
      <c r="O81" s="126"/>
      <c r="P81" s="126"/>
      <c r="Q81" s="126"/>
      <c r="V81" s="1785">
        <f t="shared" si="22"/>
        <v>0</v>
      </c>
    </row>
    <row r="82" spans="1:86" s="134" customFormat="1" ht="15">
      <c r="B82" s="134" t="s">
        <v>693</v>
      </c>
      <c r="G82" s="628"/>
      <c r="J82" s="132"/>
      <c r="K82" s="668"/>
      <c r="L82" s="668"/>
      <c r="M82" s="668"/>
      <c r="N82" s="668"/>
      <c r="O82" s="668"/>
      <c r="P82" s="668"/>
      <c r="Q82" s="668"/>
      <c r="V82" s="1785">
        <f t="shared" si="22"/>
        <v>0</v>
      </c>
    </row>
    <row r="83" spans="1:86" s="163" customFormat="1">
      <c r="A83" s="163" t="s">
        <v>694</v>
      </c>
      <c r="C83" s="163" t="s">
        <v>695</v>
      </c>
      <c r="D83" s="163" t="str">
        <f>VLOOKUP(G83,'Baumaterialien Matériaux'!$A$10:$AD$432,30,FALSE)</f>
        <v>Polystyrène expansé (EPS)</v>
      </c>
      <c r="E83" s="1409">
        <v>20</v>
      </c>
      <c r="F83" s="163" t="str">
        <f>VLOOKUP(G83,'Baumaterialien Matériaux'!$A$10:$AD$432,7,FALSE)</f>
        <v>kg</v>
      </c>
      <c r="G83" s="1082" t="s">
        <v>696</v>
      </c>
      <c r="H83" s="259">
        <f>0.2*16</f>
        <v>3.2</v>
      </c>
      <c r="J83" s="163">
        <v>30</v>
      </c>
      <c r="K83" s="259">
        <f>$H83*_xlfn.XLOOKUP($G83,'Baumaterialien Matériaux'!$A:$A,'Baumaterialien Matériaux'!V:V,0,0)</f>
        <v>95.360000000000014</v>
      </c>
      <c r="L83" s="259">
        <f>$H83*_xlfn.XLOOKUP($G83,'Baumaterialien Matériaux'!$A:$A,'Baumaterialien Matériaux'!Y:Y,0,0)</f>
        <v>0.64640000000000009</v>
      </c>
      <c r="M83" s="259">
        <f>$H83*_xlfn.XLOOKUP($G83,'Baumaterialien Matériaux'!$A:$A,'Baumaterialien Matériaux'!AA:AA,0,0)</f>
        <v>14.432</v>
      </c>
      <c r="N83" s="259">
        <f>$H83*_xlfn.XLOOKUP($G83,'Baumaterialien Matériaux'!$A:$A,'Baumaterialien Matériaux'!AB:AB,0,0)</f>
        <v>9.8879999999999999</v>
      </c>
      <c r="O83" s="259">
        <f>$H83*_xlfn.XLOOKUP($G83,'Baumaterialien Matériaux'!$A:$A,'Baumaterialien Matériaux'!AC:AC,0,0)*44/12</f>
        <v>0</v>
      </c>
      <c r="P83" s="259">
        <f>$H83*_xlfn.XLOOKUP($G83,'Baumaterialien Matériaux'!$A:$A,'Baumaterialien Matériaux'!AG:AG,0,0)</f>
        <v>0</v>
      </c>
      <c r="Q83" s="1087">
        <f>$H83*_xlfn.XLOOKUP($G83,'Baumaterialien Matériaux'!$A:$A,'Baumaterialien Matériaux'!AH:AH,0,0)</f>
        <v>0</v>
      </c>
      <c r="R83" s="3"/>
      <c r="S83" s="540">
        <f>(M83+N83)/30</f>
        <v>0.81066666666666665</v>
      </c>
      <c r="T83" s="3"/>
      <c r="U83" s="3">
        <v>3.1E-2</v>
      </c>
      <c r="V83" s="1785">
        <f t="shared" si="22"/>
        <v>645.16129032258061</v>
      </c>
      <c r="W83" s="3"/>
      <c r="X83" s="3"/>
      <c r="Y83" s="3"/>
      <c r="Z83" s="3"/>
      <c r="AA83" s="1088"/>
      <c r="AB83" s="3"/>
      <c r="AC83" s="3"/>
      <c r="AD83" s="3"/>
      <c r="AE83" s="3"/>
    </row>
    <row r="84" spans="1:86" s="159" customFormat="1" ht="15">
      <c r="C84" s="1047"/>
      <c r="G84" s="1047"/>
      <c r="H84" s="1081"/>
      <c r="K84" s="1081"/>
      <c r="L84" s="1081"/>
      <c r="M84" s="1081"/>
      <c r="N84" s="1081"/>
      <c r="O84" s="1081"/>
      <c r="P84" s="851"/>
      <c r="Q84" s="851"/>
      <c r="R84" s="3"/>
      <c r="S84" s="3"/>
      <c r="T84" s="3"/>
      <c r="U84" s="3"/>
      <c r="V84" s="1785">
        <f t="shared" si="22"/>
        <v>0</v>
      </c>
      <c r="W84" s="3"/>
      <c r="X84" s="3"/>
      <c r="Y84" s="3"/>
      <c r="Z84" s="3"/>
      <c r="AA84" s="1088"/>
      <c r="AB84" s="3"/>
      <c r="AC84" s="3"/>
      <c r="AD84" s="3"/>
      <c r="AE84" s="3"/>
    </row>
    <row r="85" spans="1:86" s="163" customFormat="1">
      <c r="A85" s="163" t="s">
        <v>697</v>
      </c>
      <c r="C85" s="163" t="s">
        <v>698</v>
      </c>
      <c r="D85" s="163" t="str">
        <f>VLOOKUP(G85,'Baumaterialien Matériaux'!$A$10:$AD$432,30,FALSE)</f>
        <v>Laine de roche</v>
      </c>
      <c r="E85" s="1409">
        <v>22</v>
      </c>
      <c r="F85" s="163" t="str">
        <f>VLOOKUP(G85,'Baumaterialien Matériaux'!$A$10:$AD$432,7,FALSE)</f>
        <v>kg</v>
      </c>
      <c r="G85" s="163" t="s">
        <v>699</v>
      </c>
      <c r="H85" s="259">
        <f>0.22*48</f>
        <v>10.56</v>
      </c>
      <c r="J85" s="163">
        <v>30</v>
      </c>
      <c r="K85" s="259">
        <f>$H85*_xlfn.XLOOKUP($G85,'Baumaterialien Matériaux'!$A:$A,'Baumaterialien Matériaux'!V:V,0,0)</f>
        <v>32.736000000000004</v>
      </c>
      <c r="L85" s="259">
        <f>$H85*_xlfn.XLOOKUP($G85,'Baumaterialien Matériaux'!$A:$A,'Baumaterialien Matériaux'!Y:Y,0,0)</f>
        <v>1.4044800000000002</v>
      </c>
      <c r="M85" s="259">
        <f>$H85*_xlfn.XLOOKUP($G85,'Baumaterialien Matériaux'!$A:$A,'Baumaterialien Matériaux'!AA:AA,0,0)</f>
        <v>7.9939200000000001</v>
      </c>
      <c r="N85" s="259">
        <f>$H85*_xlfn.XLOOKUP($G85,'Baumaterialien Matériaux'!$A:$A,'Baumaterialien Matériaux'!AB:AB,0,0)</f>
        <v>0.62515200000000004</v>
      </c>
      <c r="O85" s="259">
        <f>$H85*_xlfn.XLOOKUP($G85,'Baumaterialien Matériaux'!$A:$A,'Baumaterialien Matériaux'!AC:AC,0,0)*44/12</f>
        <v>0</v>
      </c>
      <c r="P85" s="259">
        <f>$H85*_xlfn.XLOOKUP($G85,'Baumaterialien Matériaux'!$A:$A,'Baumaterialien Matériaux'!AG:AG,0,0)</f>
        <v>0</v>
      </c>
      <c r="Q85" s="1087">
        <f>$H85*_xlfn.XLOOKUP($G85,'Baumaterialien Matériaux'!$A:$A,'Baumaterialien Matériaux'!AH:AH,0,0)</f>
        <v>0</v>
      </c>
      <c r="R85" s="3"/>
      <c r="S85" s="540">
        <f>(M85+N85)/30</f>
        <v>0.28730240000000001</v>
      </c>
      <c r="T85" s="3"/>
      <c r="U85" s="3">
        <v>3.4000000000000002E-2</v>
      </c>
      <c r="V85" s="1785">
        <f t="shared" si="22"/>
        <v>647.05882352941171</v>
      </c>
      <c r="W85" s="3"/>
      <c r="X85" s="3"/>
      <c r="Y85" s="3"/>
      <c r="Z85" s="3"/>
      <c r="AA85" s="1088"/>
      <c r="AB85" s="3"/>
      <c r="AC85" s="3"/>
      <c r="AD85" s="3"/>
      <c r="AE85" s="3"/>
    </row>
    <row r="86" spans="1:86" s="163" customFormat="1">
      <c r="E86" s="1409"/>
      <c r="H86" s="259"/>
      <c r="K86" s="259"/>
      <c r="L86" s="259"/>
      <c r="M86" s="259"/>
      <c r="N86" s="259"/>
      <c r="O86" s="259"/>
      <c r="P86" s="259"/>
      <c r="Q86" s="1087"/>
      <c r="R86" s="3"/>
      <c r="S86" s="3"/>
      <c r="T86" s="3"/>
      <c r="U86" s="3"/>
      <c r="V86" s="1785">
        <f t="shared" si="22"/>
        <v>0</v>
      </c>
      <c r="W86" s="3"/>
      <c r="X86" s="3"/>
      <c r="Y86" s="3"/>
      <c r="Z86" s="3"/>
      <c r="AA86" s="1088"/>
      <c r="AB86" s="3"/>
      <c r="AC86" s="3"/>
      <c r="AD86" s="3"/>
      <c r="AE86" s="3"/>
    </row>
    <row r="87" spans="1:86" s="163" customFormat="1">
      <c r="A87" s="163" t="s">
        <v>700</v>
      </c>
      <c r="B87" s="1077"/>
      <c r="C87" s="163" t="s">
        <v>701</v>
      </c>
      <c r="D87" s="163" t="str">
        <f>VLOOKUP(G87,'Baumaterialien Matériaux'!$A$10:$AD$432,30,FALSE)</f>
        <v>Laine de roche</v>
      </c>
      <c r="E87" s="1409">
        <v>22</v>
      </c>
      <c r="F87" s="163" t="str">
        <f>VLOOKUP(G87,'Baumaterialien Matériaux'!$A$10:$AD$432,7,FALSE)</f>
        <v>kg</v>
      </c>
      <c r="G87" s="163" t="s">
        <v>699</v>
      </c>
      <c r="H87" s="259">
        <f>0.22*80</f>
        <v>17.600000000000001</v>
      </c>
      <c r="J87" s="163">
        <v>30</v>
      </c>
      <c r="K87" s="259">
        <f>$H87*_xlfn.XLOOKUP($G87,'Baumaterialien Matériaux'!$A:$A,'Baumaterialien Matériaux'!V:V,0,0)</f>
        <v>54.560000000000009</v>
      </c>
      <c r="L87" s="259">
        <f>$H87*_xlfn.XLOOKUP($G87,'Baumaterialien Matériaux'!$A:$A,'Baumaterialien Matériaux'!Y:Y,0,0)</f>
        <v>2.3408000000000002</v>
      </c>
      <c r="M87" s="259">
        <f>$H87*_xlfn.XLOOKUP($G87,'Baumaterialien Matériaux'!$A:$A,'Baumaterialien Matériaux'!AA:AA,0,0)</f>
        <v>13.323200000000002</v>
      </c>
      <c r="N87" s="259">
        <f>$H87*_xlfn.XLOOKUP($G87,'Baumaterialien Matériaux'!$A:$A,'Baumaterialien Matériaux'!AB:AB,0,0)</f>
        <v>1.0419200000000002</v>
      </c>
      <c r="O87" s="259">
        <f>$H87*_xlfn.XLOOKUP($G87,'Baumaterialien Matériaux'!$A:$A,'Baumaterialien Matériaux'!AC:AC,0,0)*44/12</f>
        <v>0</v>
      </c>
      <c r="P87" s="259">
        <f>$H87*_xlfn.XLOOKUP($G87,'Baumaterialien Matériaux'!$A:$A,'Baumaterialien Matériaux'!AG:AG,0,0)</f>
        <v>0</v>
      </c>
      <c r="Q87" s="1087">
        <f>$H87*_xlfn.XLOOKUP($G87,'Baumaterialien Matériaux'!$A:$A,'Baumaterialien Matériaux'!AH:AH,0,0)</f>
        <v>0</v>
      </c>
      <c r="R87" s="3"/>
      <c r="S87" s="540">
        <f>(M87+N87)/30</f>
        <v>0.47883733333333339</v>
      </c>
      <c r="T87" s="3"/>
      <c r="U87" s="3">
        <v>3.4000000000000002E-2</v>
      </c>
      <c r="V87" s="1785">
        <f t="shared" si="22"/>
        <v>647.05882352941171</v>
      </c>
      <c r="W87" s="3"/>
      <c r="X87" s="3"/>
      <c r="Y87" s="3"/>
      <c r="Z87" s="3"/>
      <c r="AA87" s="1088"/>
      <c r="AB87" s="3"/>
      <c r="AC87" s="3"/>
      <c r="AD87" s="3"/>
      <c r="AE87" s="3"/>
    </row>
    <row r="88" spans="1:86" s="163" customFormat="1">
      <c r="B88" s="1077"/>
      <c r="E88" s="1409"/>
      <c r="H88" s="259"/>
      <c r="K88" s="259"/>
      <c r="L88" s="259"/>
      <c r="M88" s="259"/>
      <c r="N88" s="259"/>
      <c r="O88" s="259"/>
      <c r="P88" s="259"/>
      <c r="Q88" s="1087"/>
      <c r="R88" s="3"/>
      <c r="S88" s="3"/>
      <c r="T88" s="3"/>
      <c r="U88" s="3"/>
      <c r="V88" s="1785">
        <f t="shared" si="22"/>
        <v>0</v>
      </c>
      <c r="W88" s="3"/>
      <c r="X88" s="3"/>
      <c r="Y88" s="3"/>
      <c r="Z88" s="3"/>
      <c r="AA88" s="1088"/>
      <c r="AB88" s="3"/>
      <c r="AC88" s="3"/>
      <c r="AD88" s="3"/>
      <c r="AE88" s="3"/>
    </row>
    <row r="89" spans="1:86" s="163" customFormat="1">
      <c r="A89" s="163" t="s">
        <v>702</v>
      </c>
      <c r="C89" s="163" t="s">
        <v>703</v>
      </c>
      <c r="D89" s="163" t="str">
        <f>VLOOKUP(G89,'Baumaterialien Matériaux'!$A$10:$AD$432,30,FALSE)</f>
        <v>Laine de verre</v>
      </c>
      <c r="E89" s="1409">
        <v>20</v>
      </c>
      <c r="F89" s="163" t="str">
        <f>VLOOKUP(G89,'Baumaterialien Matériaux'!$A$10:$AD$432,7,FALSE)</f>
        <v>kg</v>
      </c>
      <c r="G89" s="163" t="s">
        <v>704</v>
      </c>
      <c r="H89" s="259">
        <f>0.2*38</f>
        <v>7.6000000000000005</v>
      </c>
      <c r="J89" s="163">
        <v>30</v>
      </c>
      <c r="K89" s="259">
        <f>$H89*_xlfn.XLOOKUP($G89,'Baumaterialien Matériaux'!$A:$A,'Baumaterialien Matériaux'!V:V,0,0)</f>
        <v>40.508000000000003</v>
      </c>
      <c r="L89" s="259">
        <f>$H89*_xlfn.XLOOKUP($G89,'Baumaterialien Matériaux'!$A:$A,'Baumaterialien Matériaux'!Y:Y,0,0)</f>
        <v>1.0108000000000001</v>
      </c>
      <c r="M89" s="259">
        <f>$H89*_xlfn.XLOOKUP($G89,'Baumaterialien Matériaux'!$A:$A,'Baumaterialien Matériaux'!AA:AA,0,0)</f>
        <v>7.9040000000000008</v>
      </c>
      <c r="N89" s="259">
        <f>$H89*_xlfn.XLOOKUP($G89,'Baumaterialien Matériaux'!$A:$A,'Baumaterialien Matériaux'!AB:AB,0,0)</f>
        <v>0.44992000000000004</v>
      </c>
      <c r="O89" s="259">
        <f>$H89*_xlfn.XLOOKUP($G89,'Baumaterialien Matériaux'!$A:$A,'Baumaterialien Matériaux'!AC:AC,0,0)*44/12</f>
        <v>0</v>
      </c>
      <c r="P89" s="259">
        <f>$H89*_xlfn.XLOOKUP($G89,'Baumaterialien Matériaux'!$A:$A,'Baumaterialien Matériaux'!AG:AG,0,0)</f>
        <v>0</v>
      </c>
      <c r="Q89" s="1087">
        <f>$H89*_xlfn.XLOOKUP($G89,'Baumaterialien Matériaux'!$A:$A,'Baumaterialien Matériaux'!AH:AH,0,0)</f>
        <v>0</v>
      </c>
      <c r="R89" s="3"/>
      <c r="S89" s="540">
        <f>(M89+N89)/30</f>
        <v>0.27846399999999999</v>
      </c>
      <c r="T89" s="3"/>
      <c r="U89" s="3">
        <v>3.2000000000000001E-2</v>
      </c>
      <c r="V89" s="1785">
        <f t="shared" si="22"/>
        <v>625</v>
      </c>
      <c r="W89" s="3"/>
      <c r="X89" s="3"/>
      <c r="Y89" s="3"/>
      <c r="Z89" s="3"/>
      <c r="AA89" s="1088"/>
      <c r="AB89" s="3"/>
      <c r="AC89" s="3"/>
      <c r="AD89" s="3"/>
      <c r="AE89" s="3"/>
    </row>
    <row r="90" spans="1:86" s="159" customFormat="1">
      <c r="A90" s="163"/>
      <c r="B90" s="163"/>
      <c r="C90" s="163"/>
      <c r="D90" s="163"/>
      <c r="E90" s="1409"/>
      <c r="F90" s="163"/>
      <c r="G90" s="163"/>
      <c r="H90" s="259"/>
      <c r="I90" s="163"/>
      <c r="J90" s="163"/>
      <c r="K90" s="259"/>
      <c r="L90" s="259"/>
      <c r="M90" s="259"/>
      <c r="N90" s="259"/>
      <c r="O90" s="259"/>
      <c r="P90" s="259"/>
      <c r="Q90" s="1087"/>
      <c r="R90" s="3"/>
      <c r="S90" s="540"/>
      <c r="T90" s="3"/>
      <c r="U90" s="3"/>
      <c r="V90" s="1785">
        <f t="shared" si="22"/>
        <v>0</v>
      </c>
      <c r="W90" s="3"/>
      <c r="X90" s="3"/>
      <c r="Y90" s="3"/>
      <c r="Z90" s="3"/>
      <c r="AA90" s="1088"/>
      <c r="AB90" s="3"/>
      <c r="AC90" s="3"/>
      <c r="AD90" s="3"/>
      <c r="AE90" s="3"/>
    </row>
    <row r="91" spans="1:86" s="159" customFormat="1">
      <c r="A91" s="1236" t="s">
        <v>4480</v>
      </c>
      <c r="B91" s="163"/>
      <c r="C91" s="163"/>
      <c r="D91" s="163">
        <v>0</v>
      </c>
      <c r="E91" s="1409"/>
      <c r="F91" s="163" t="e">
        <f>VLOOKUP(G91,'Baumaterialien Matériaux'!$A$10:$AD$432,7,FALSE)</f>
        <v>#N/A</v>
      </c>
      <c r="G91" s="163"/>
      <c r="H91" s="259"/>
      <c r="I91" s="163"/>
      <c r="J91" s="163">
        <v>30</v>
      </c>
      <c r="K91" s="259">
        <f>$H91*_xlfn.XLOOKUP($G91,'Baumaterialien Matériaux'!$A:$A,'Baumaterialien Matériaux'!V:V,0,0)</f>
        <v>0</v>
      </c>
      <c r="L91" s="259">
        <f>$H91*_xlfn.XLOOKUP($G91,'Baumaterialien Matériaux'!$A:$A,'Baumaterialien Matériaux'!Y:Y,0,0)</f>
        <v>0</v>
      </c>
      <c r="M91" s="259">
        <f>$H91*_xlfn.XLOOKUP($G91,'Baumaterialien Matériaux'!$A:$A,'Baumaterialien Matériaux'!AA:AA,0,0)</f>
        <v>0</v>
      </c>
      <c r="N91" s="259">
        <f>$H91*_xlfn.XLOOKUP($G91,'Baumaterialien Matériaux'!$A:$A,'Baumaterialien Matériaux'!AB:AB,0,0)</f>
        <v>0</v>
      </c>
      <c r="O91" s="259">
        <f>$H91*_xlfn.XLOOKUP($G91,'Baumaterialien Matériaux'!$A:$A,'Baumaterialien Matériaux'!AC:AC,0,0)*44/12</f>
        <v>0</v>
      </c>
      <c r="P91" s="259">
        <f>$H91*_xlfn.XLOOKUP($G91,'Baumaterialien Matériaux'!$A:$A,'Baumaterialien Matériaux'!AG:AG,0,0)</f>
        <v>0</v>
      </c>
      <c r="Q91" s="1087">
        <f>$H91*_xlfn.XLOOKUP($G91,'Baumaterialien Matériaux'!$A:$A,'Baumaterialien Matériaux'!AH:AH,0,0)</f>
        <v>0</v>
      </c>
      <c r="R91" s="3"/>
      <c r="S91" s="540">
        <f t="shared" ref="S91" si="27">(M91+N91)/30</f>
        <v>0</v>
      </c>
      <c r="T91" s="3"/>
      <c r="U91" s="3"/>
      <c r="V91" s="1785">
        <f t="shared" si="22"/>
        <v>0</v>
      </c>
      <c r="W91" s="3"/>
      <c r="X91" s="3"/>
      <c r="Y91" s="3"/>
      <c r="Z91" s="3"/>
      <c r="AA91" s="1088"/>
      <c r="AB91" s="3"/>
      <c r="AC91" s="3"/>
      <c r="AD91" s="3"/>
      <c r="AE91" s="3"/>
    </row>
    <row r="92" spans="1:86" s="159" customFormat="1">
      <c r="G92" s="604"/>
      <c r="K92" s="605"/>
      <c r="L92" s="605"/>
      <c r="M92" s="605"/>
      <c r="N92" s="605"/>
      <c r="O92" s="605"/>
      <c r="P92" s="605"/>
      <c r="Q92" s="605"/>
      <c r="V92" s="1785">
        <f t="shared" si="22"/>
        <v>0</v>
      </c>
    </row>
    <row r="93" spans="1:86" s="1019" customFormat="1">
      <c r="B93" s="1019" t="str">
        <f>'Outil détaillé'!D22</f>
        <v>Fenetres et portes</v>
      </c>
      <c r="G93" s="1020"/>
      <c r="K93" s="1021"/>
      <c r="L93" s="1021"/>
      <c r="M93" s="1021"/>
      <c r="N93" s="1021"/>
      <c r="O93" s="1021"/>
      <c r="P93" s="1021"/>
      <c r="Q93" s="1021"/>
      <c r="V93" s="1785">
        <f t="shared" si="22"/>
        <v>0</v>
      </c>
    </row>
    <row r="94" spans="1:86" s="1022" customFormat="1" ht="17.25">
      <c r="A94" s="1023" t="s">
        <v>248</v>
      </c>
      <c r="C94" s="1023"/>
      <c r="D94" s="1023"/>
      <c r="E94" s="1023"/>
      <c r="F94" s="1023"/>
      <c r="G94" s="1024"/>
      <c r="H94" s="1023" t="s">
        <v>635</v>
      </c>
      <c r="I94" s="1023"/>
      <c r="K94" s="1025"/>
      <c r="L94" s="1025"/>
      <c r="M94" s="1025"/>
      <c r="N94" s="1025"/>
      <c r="O94" s="1025"/>
      <c r="P94" s="1025"/>
      <c r="Q94" s="1025"/>
      <c r="V94" s="1785">
        <f t="shared" si="22"/>
        <v>0</v>
      </c>
    </row>
    <row r="95" spans="1:86" ht="15.75" customHeight="1">
      <c r="K95" s="126"/>
      <c r="L95" s="126"/>
      <c r="M95" s="126"/>
      <c r="N95" s="126"/>
      <c r="O95" s="126"/>
      <c r="P95" s="126"/>
      <c r="Q95" s="126"/>
      <c r="V95" s="1785">
        <f t="shared" si="22"/>
        <v>0</v>
      </c>
    </row>
    <row r="96" spans="1:86" s="557" customFormat="1">
      <c r="A96" s="1056" t="s">
        <v>3659</v>
      </c>
      <c r="B96" s="1934" t="s">
        <v>705</v>
      </c>
      <c r="C96" s="538" t="s">
        <v>706</v>
      </c>
      <c r="D96" s="538" t="str">
        <f>VLOOKUP(G96,'Baumaterialien Matériaux'!$A$10:$AD$432,30,FALSE)</f>
        <v>Cadre en matière synthétique (PVC) 2</v>
      </c>
      <c r="E96" s="1785"/>
      <c r="F96" s="538" t="str">
        <f>VLOOKUP(G96,'Baumaterialien Matériaux'!$A$10:$AD$432,7,FALSE)</f>
        <v>m2</v>
      </c>
      <c r="G96" s="603" t="s">
        <v>1516</v>
      </c>
      <c r="H96" s="539">
        <v>1</v>
      </c>
      <c r="I96" s="538"/>
      <c r="J96" s="538">
        <v>30</v>
      </c>
      <c r="K96" s="539">
        <f>$H96*_xlfn.XLOOKUP($G96,'Baumaterialien Matériaux'!$A:$A,'Baumaterialien Matériaux'!V:V,0,0)</f>
        <v>323</v>
      </c>
      <c r="L96" s="539">
        <f>$H96*_xlfn.XLOOKUP($G96,'Baumaterialien Matériaux'!$A:$A,'Baumaterialien Matériaux'!Y:Y,0,0)</f>
        <v>5.31</v>
      </c>
      <c r="M96" s="539">
        <f>$H96*_xlfn.XLOOKUP($G96,'Baumaterialien Matériaux'!$A:$A,'Baumaterialien Matériaux'!AA:AA,0,0)</f>
        <v>53.2</v>
      </c>
      <c r="N96" s="539">
        <f>$H96*_xlfn.XLOOKUP($G96,'Baumaterialien Matériaux'!$A:$A,'Baumaterialien Matériaux'!AB:AB,0,0)</f>
        <v>10.199999999999999</v>
      </c>
      <c r="O96" s="539">
        <f>$H96*_xlfn.XLOOKUP($G96,'Baumaterialien Matériaux'!$A:$A,'Baumaterialien Matériaux'!AC:AC,0,0)*44/12</f>
        <v>0</v>
      </c>
      <c r="P96" s="539">
        <f>$H96*_xlfn.XLOOKUP($G96,'Baumaterialien Matériaux'!$A:$A,'Baumaterialien Matériaux'!AG:AG,0,0)</f>
        <v>0</v>
      </c>
      <c r="Q96" s="539">
        <f>$H96*_xlfn.XLOOKUP($G96,'Baumaterialien Matériaux'!$A:$A,'Baumaterialien Matériaux'!AH:AH,0,0)</f>
        <v>0</v>
      </c>
      <c r="R96" s="540"/>
      <c r="S96" s="540"/>
      <c r="T96" s="540"/>
      <c r="U96" s="540"/>
      <c r="V96" s="1785">
        <f t="shared" si="22"/>
        <v>0</v>
      </c>
      <c r="W96" s="540"/>
      <c r="X96" s="540"/>
      <c r="Y96" s="540"/>
      <c r="Z96" s="540"/>
      <c r="AA96" s="540"/>
      <c r="AB96" s="540"/>
      <c r="AC96" s="540"/>
      <c r="AD96" s="540"/>
      <c r="AE96" s="540"/>
      <c r="AF96" s="540"/>
      <c r="AG96" s="540"/>
      <c r="AH96" s="540"/>
      <c r="AI96" s="540"/>
      <c r="AJ96" s="540"/>
      <c r="AK96" s="540"/>
      <c r="AL96" s="540"/>
      <c r="AM96" s="540"/>
      <c r="AN96" s="540"/>
      <c r="AO96" s="540"/>
      <c r="AP96" s="540"/>
      <c r="AQ96" s="540"/>
      <c r="AR96" s="540"/>
      <c r="AS96" s="540"/>
      <c r="AT96" s="540"/>
      <c r="AU96" s="540"/>
      <c r="AV96" s="540"/>
      <c r="AW96" s="540"/>
      <c r="AX96" s="540"/>
      <c r="AY96" s="540"/>
      <c r="AZ96" s="540"/>
      <c r="BA96" s="540"/>
      <c r="BB96" s="540"/>
      <c r="BC96" s="540"/>
      <c r="BD96" s="540"/>
      <c r="BE96" s="540"/>
      <c r="BF96" s="540"/>
      <c r="BG96" s="540"/>
      <c r="BH96" s="540"/>
      <c r="BI96" s="540"/>
      <c r="BJ96" s="540"/>
      <c r="BK96" s="540"/>
      <c r="BL96" s="540"/>
      <c r="BM96" s="540"/>
      <c r="BN96" s="540"/>
      <c r="BO96" s="540"/>
      <c r="BP96" s="540"/>
      <c r="BQ96" s="540"/>
      <c r="BR96" s="540"/>
      <c r="BS96" s="540"/>
      <c r="BT96" s="540"/>
      <c r="BU96" s="540"/>
      <c r="BV96" s="540"/>
      <c r="BW96" s="540"/>
      <c r="BX96" s="540"/>
      <c r="BY96" s="540"/>
      <c r="BZ96" s="540"/>
      <c r="CA96" s="540"/>
      <c r="CB96" s="540"/>
      <c r="CC96" s="540"/>
      <c r="CD96" s="540"/>
      <c r="CE96" s="540"/>
      <c r="CF96" s="540"/>
      <c r="CG96" s="540"/>
      <c r="CH96" s="540"/>
    </row>
    <row r="97" spans="1:86" s="540" customFormat="1">
      <c r="B97" s="1934"/>
      <c r="C97" s="538" t="s">
        <v>708</v>
      </c>
      <c r="D97" s="538" t="str">
        <f>VLOOKUP(G97,'Baumaterialien Matériaux'!$A$10:$AD$432,30,FALSE)</f>
        <v>Triple vitrage, U&lt;0.6 W/m2K, épaisseur 40 mm 3</v>
      </c>
      <c r="E97" s="1785"/>
      <c r="F97" s="538" t="str">
        <f>VLOOKUP(G97,'Baumaterialien Matériaux'!$A$10:$AD$432,7,FALSE)</f>
        <v>m2</v>
      </c>
      <c r="G97" s="568" t="s">
        <v>709</v>
      </c>
      <c r="H97" s="539">
        <v>0.78</v>
      </c>
      <c r="I97" s="538"/>
      <c r="J97" s="538">
        <v>30</v>
      </c>
      <c r="K97" s="539">
        <f>$H97*_xlfn.XLOOKUP($G97,'Baumaterialien Matériaux'!$A:$A,'Baumaterialien Matériaux'!V:V,0,0)</f>
        <v>195.78</v>
      </c>
      <c r="L97" s="539">
        <f>$H97*_xlfn.XLOOKUP($G97,'Baumaterialien Matériaux'!$A:$A,'Baumaterialien Matériaux'!Y:Y,0,0)</f>
        <v>3.1355999999999997</v>
      </c>
      <c r="M97" s="539">
        <f>$H97*_xlfn.XLOOKUP($G97,'Baumaterialien Matériaux'!$A:$A,'Baumaterialien Matériaux'!AA:AA,0,0)</f>
        <v>48.438000000000002</v>
      </c>
      <c r="N97" s="539">
        <f>$H97*_xlfn.XLOOKUP($G97,'Baumaterialien Matériaux'!$A:$A,'Baumaterialien Matériaux'!AB:AB,0,0)</f>
        <v>4.4460000000000006</v>
      </c>
      <c r="O97" s="539">
        <f>$H97*_xlfn.XLOOKUP($G97,'Baumaterialien Matériaux'!$A:$A,'Baumaterialien Matériaux'!AC:AC,0,0)*44/12</f>
        <v>0</v>
      </c>
      <c r="P97" s="539">
        <f>$H97*_xlfn.XLOOKUP($G97,'Baumaterialien Matériaux'!$A:$A,'Baumaterialien Matériaux'!AG:AG,0,0)</f>
        <v>0</v>
      </c>
      <c r="Q97" s="539">
        <f>$H97*_xlfn.XLOOKUP($G97,'Baumaterialien Matériaux'!$A:$A,'Baumaterialien Matériaux'!AH:AH,0,0)</f>
        <v>0</v>
      </c>
      <c r="V97" s="1785">
        <f t="shared" si="22"/>
        <v>0</v>
      </c>
    </row>
    <row r="98" spans="1:86" s="540" customFormat="1">
      <c r="B98" s="1934"/>
      <c r="C98" s="538" t="s">
        <v>710</v>
      </c>
      <c r="D98" s="538" t="str">
        <f>VLOOKUP(G98,'Baumaterialien Matériaux'!$A$10:$AD$432,30,FALSE)</f>
        <v>Protection solaire, stores vénitiens avec moteur 4</v>
      </c>
      <c r="E98" s="1785"/>
      <c r="F98" s="538" t="str">
        <f>VLOOKUP(G98,'Baumaterialien Matériaux'!$A$10:$AD$432,7,FALSE)</f>
        <v>m2</v>
      </c>
      <c r="G98" s="568" t="s">
        <v>711</v>
      </c>
      <c r="H98" s="539">
        <v>1</v>
      </c>
      <c r="I98" s="538"/>
      <c r="J98" s="538">
        <v>30</v>
      </c>
      <c r="K98" s="539">
        <f>$H98*_xlfn.XLOOKUP($G98,'Baumaterialien Matériaux'!$A:$A,'Baumaterialien Matériaux'!V:V,0,0)</f>
        <v>248</v>
      </c>
      <c r="L98" s="539">
        <f>$H98*_xlfn.XLOOKUP($G98,'Baumaterialien Matériaux'!$A:$A,'Baumaterialien Matériaux'!Y:Y,0,0)</f>
        <v>0.434</v>
      </c>
      <c r="M98" s="539">
        <f>$H98*_xlfn.XLOOKUP($G98,'Baumaterialien Matériaux'!$A:$A,'Baumaterialien Matériaux'!AA:AA,0,0)</f>
        <v>58.5</v>
      </c>
      <c r="N98" s="539">
        <f>$H98*_xlfn.XLOOKUP($G98,'Baumaterialien Matériaux'!$A:$A,'Baumaterialien Matériaux'!AB:AB,0,0)</f>
        <v>1.47</v>
      </c>
      <c r="O98" s="539">
        <f>$H98*_xlfn.XLOOKUP($G98,'Baumaterialien Matériaux'!$A:$A,'Baumaterialien Matériaux'!AC:AC,0,0)*44/12</f>
        <v>0</v>
      </c>
      <c r="P98" s="539">
        <f>$H98*_xlfn.XLOOKUP($G98,'Baumaterialien Matériaux'!$A:$A,'Baumaterialien Matériaux'!AG:AG,0,0)</f>
        <v>0</v>
      </c>
      <c r="Q98" s="539">
        <f>$H98*_xlfn.XLOOKUP($G98,'Baumaterialien Matériaux'!$A:$A,'Baumaterialien Matériaux'!AH:AH,0,0)</f>
        <v>0</v>
      </c>
      <c r="V98" s="1785">
        <f t="shared" si="22"/>
        <v>0</v>
      </c>
    </row>
    <row r="99" spans="1:86" s="577" customFormat="1" ht="15.75" thickBot="1">
      <c r="B99" s="578"/>
      <c r="G99" s="579"/>
      <c r="J99" s="589">
        <v>30</v>
      </c>
      <c r="K99" s="581">
        <f t="shared" ref="K99:L99" si="28">SUM(K96:K98)</f>
        <v>766.78</v>
      </c>
      <c r="L99" s="581">
        <f t="shared" si="28"/>
        <v>8.8795999999999982</v>
      </c>
      <c r="M99" s="581">
        <f t="shared" ref="M99:O99" si="29">SUM(M96:M98)</f>
        <v>160.13800000000001</v>
      </c>
      <c r="N99" s="581">
        <f t="shared" si="29"/>
        <v>16.116</v>
      </c>
      <c r="O99" s="581">
        <f t="shared" si="29"/>
        <v>0</v>
      </c>
      <c r="P99" s="581">
        <f t="shared" ref="P99:Q99" si="30">SUM(P96:P98)</f>
        <v>0</v>
      </c>
      <c r="Q99" s="581">
        <f t="shared" si="30"/>
        <v>0</v>
      </c>
      <c r="R99" s="540"/>
      <c r="S99" s="540">
        <f>(M99+N99)/J98</f>
        <v>5.8751333333333342</v>
      </c>
      <c r="T99" s="540">
        <v>5.24</v>
      </c>
      <c r="U99" s="540"/>
      <c r="V99" s="1785">
        <f t="shared" si="22"/>
        <v>0</v>
      </c>
      <c r="W99" s="540"/>
      <c r="X99" s="540"/>
      <c r="Y99" s="540"/>
      <c r="Z99" s="540"/>
      <c r="AA99" s="540"/>
      <c r="AB99" s="540"/>
      <c r="AC99" s="540"/>
      <c r="AD99" s="540"/>
      <c r="AE99" s="540"/>
      <c r="AF99" s="540"/>
      <c r="AG99" s="540"/>
      <c r="AH99" s="540"/>
      <c r="AI99" s="540"/>
      <c r="AJ99" s="540"/>
      <c r="AK99" s="540"/>
      <c r="AL99" s="540"/>
      <c r="AM99" s="540"/>
      <c r="AN99" s="540"/>
      <c r="AO99" s="540"/>
      <c r="AP99" s="540"/>
      <c r="AQ99" s="540"/>
      <c r="AR99" s="540"/>
      <c r="AS99" s="540"/>
      <c r="AT99" s="540"/>
      <c r="AU99" s="540"/>
      <c r="AV99" s="540"/>
      <c r="AW99" s="540"/>
      <c r="AX99" s="540"/>
      <c r="AY99" s="540"/>
      <c r="AZ99" s="540"/>
      <c r="BA99" s="540"/>
      <c r="BB99" s="540"/>
      <c r="BC99" s="540"/>
      <c r="BD99" s="540"/>
      <c r="BE99" s="540"/>
      <c r="BF99" s="540"/>
      <c r="BG99" s="540"/>
      <c r="BH99" s="540"/>
      <c r="BI99" s="540"/>
      <c r="BJ99" s="540"/>
      <c r="BK99" s="540"/>
      <c r="BL99" s="540"/>
      <c r="BM99" s="540"/>
      <c r="BN99" s="540"/>
      <c r="BO99" s="540"/>
      <c r="BP99" s="540"/>
      <c r="BQ99" s="540"/>
      <c r="BR99" s="540"/>
      <c r="BS99" s="540"/>
      <c r="BT99" s="540"/>
      <c r="BU99" s="540"/>
      <c r="BV99" s="540"/>
      <c r="BW99" s="540"/>
      <c r="BX99" s="540"/>
      <c r="BY99" s="540"/>
      <c r="BZ99" s="540"/>
      <c r="CA99" s="540"/>
      <c r="CB99" s="540"/>
      <c r="CC99" s="540"/>
      <c r="CD99" s="540"/>
      <c r="CE99" s="540"/>
      <c r="CF99" s="540"/>
      <c r="CG99" s="540"/>
      <c r="CH99" s="540"/>
    </row>
    <row r="100" spans="1:86" ht="15.75" thickTop="1">
      <c r="J100" s="1"/>
      <c r="K100" s="842"/>
      <c r="L100" s="842"/>
      <c r="M100" s="842"/>
      <c r="N100" s="842"/>
      <c r="O100" s="842"/>
      <c r="P100" s="842"/>
      <c r="Q100" s="842"/>
      <c r="V100" s="1785">
        <f t="shared" si="22"/>
        <v>0</v>
      </c>
    </row>
    <row r="101" spans="1:86" s="557" customFormat="1">
      <c r="A101" s="1056" t="s">
        <v>3657</v>
      </c>
      <c r="B101" s="1934" t="s">
        <v>705</v>
      </c>
      <c r="C101" s="538" t="s">
        <v>706</v>
      </c>
      <c r="D101" s="538" t="str">
        <f>VLOOKUP(G101,'Baumaterialien Matériaux'!$A$10:$AD$432,30,FALSE)</f>
        <v>Cadre de fenêtre bois-métal</v>
      </c>
      <c r="E101" s="1785"/>
      <c r="F101" s="538" t="str">
        <f>VLOOKUP(G101,'Baumaterialien Matériaux'!$A$10:$AD$432,7,FALSE)</f>
        <v>m2</v>
      </c>
      <c r="G101" s="603" t="s">
        <v>707</v>
      </c>
      <c r="H101" s="539">
        <v>1</v>
      </c>
      <c r="I101" s="538"/>
      <c r="J101" s="538">
        <v>30</v>
      </c>
      <c r="K101" s="539">
        <f>$H101*_xlfn.XLOOKUP($G101,'Baumaterialien Matériaux'!$A:$A,'Baumaterialien Matériaux'!V:V,0,0)</f>
        <v>298</v>
      </c>
      <c r="L101" s="539">
        <f>$H101*_xlfn.XLOOKUP($G101,'Baumaterialien Matériaux'!$A:$A,'Baumaterialien Matériaux'!Y:Y,0,0)</f>
        <v>1.89</v>
      </c>
      <c r="M101" s="539">
        <f>$H101*_xlfn.XLOOKUP($G101,'Baumaterialien Matériaux'!$A:$A,'Baumaterialien Matériaux'!AA:AA,0,0)</f>
        <v>58.6</v>
      </c>
      <c r="N101" s="539">
        <f>$H101*_xlfn.XLOOKUP($G101,'Baumaterialien Matériaux'!$A:$A,'Baumaterialien Matériaux'!AB:AB,0,0)</f>
        <v>7.11</v>
      </c>
      <c r="O101" s="539">
        <f>$H101*_xlfn.XLOOKUP($G101,'Baumaterialien Matériaux'!$A:$A,'Baumaterialien Matériaux'!AC:AC,0,0)*44/12</f>
        <v>22.916666666666668</v>
      </c>
      <c r="P101" s="539">
        <f>$H101*_xlfn.XLOOKUP($G101,'Baumaterialien Matériaux'!$A:$A,'Baumaterialien Matériaux'!AG:AG,0,0)</f>
        <v>0</v>
      </c>
      <c r="Q101" s="539">
        <f>$H101*_xlfn.XLOOKUP($G101,'Baumaterialien Matériaux'!$A:$A,'Baumaterialien Matériaux'!AH:AH,0,0)</f>
        <v>0</v>
      </c>
      <c r="R101" s="540"/>
      <c r="S101" s="540"/>
      <c r="T101" s="540"/>
      <c r="U101" s="540"/>
      <c r="V101" s="1785">
        <f t="shared" si="22"/>
        <v>0</v>
      </c>
      <c r="W101" s="540"/>
      <c r="X101" s="540"/>
      <c r="Y101" s="540"/>
      <c r="Z101" s="540"/>
      <c r="AA101" s="540"/>
      <c r="AB101" s="540"/>
      <c r="AC101" s="540"/>
      <c r="AD101" s="540"/>
      <c r="AE101" s="540"/>
      <c r="AF101" s="540"/>
      <c r="AG101" s="540"/>
      <c r="AH101" s="540"/>
      <c r="AI101" s="540"/>
      <c r="AJ101" s="540"/>
      <c r="AK101" s="540"/>
      <c r="AL101" s="540"/>
      <c r="AM101" s="540"/>
      <c r="AN101" s="540"/>
      <c r="AO101" s="540"/>
      <c r="AP101" s="540"/>
      <c r="AQ101" s="540"/>
      <c r="AR101" s="540"/>
      <c r="AS101" s="540"/>
      <c r="AT101" s="540"/>
      <c r="AU101" s="540"/>
      <c r="AV101" s="540"/>
      <c r="AW101" s="540"/>
      <c r="AX101" s="540"/>
      <c r="AY101" s="540"/>
      <c r="AZ101" s="540"/>
      <c r="BA101" s="540"/>
      <c r="BB101" s="540"/>
      <c r="BC101" s="540"/>
      <c r="BD101" s="540"/>
      <c r="BE101" s="540"/>
      <c r="BF101" s="540"/>
      <c r="BG101" s="540"/>
      <c r="BH101" s="540"/>
      <c r="BI101" s="540"/>
      <c r="BJ101" s="540"/>
      <c r="BK101" s="540"/>
      <c r="BL101" s="540"/>
      <c r="BM101" s="540"/>
      <c r="BN101" s="540"/>
      <c r="BO101" s="540"/>
      <c r="BP101" s="540"/>
      <c r="BQ101" s="540"/>
      <c r="BR101" s="540"/>
      <c r="BS101" s="540"/>
      <c r="BT101" s="540"/>
      <c r="BU101" s="540"/>
      <c r="BV101" s="540"/>
      <c r="BW101" s="540"/>
      <c r="BX101" s="540"/>
      <c r="BY101" s="540"/>
      <c r="BZ101" s="540"/>
      <c r="CA101" s="540"/>
      <c r="CB101" s="540"/>
      <c r="CC101" s="540"/>
      <c r="CD101" s="540"/>
      <c r="CE101" s="540"/>
      <c r="CF101" s="540"/>
      <c r="CG101" s="540"/>
      <c r="CH101" s="540"/>
    </row>
    <row r="102" spans="1:86" s="540" customFormat="1">
      <c r="B102" s="1934"/>
      <c r="C102" s="538" t="s">
        <v>708</v>
      </c>
      <c r="D102" s="538" t="str">
        <f>VLOOKUP(G102,'Baumaterialien Matériaux'!$A$10:$AD$432,30,FALSE)</f>
        <v>Triple vitrage, U&lt;0.6 W/m2K, épaisseur 40 mm 3</v>
      </c>
      <c r="E102" s="1785"/>
      <c r="F102" s="538" t="str">
        <f>VLOOKUP(G102,'Baumaterialien Matériaux'!$A$10:$AD$432,7,FALSE)</f>
        <v>m2</v>
      </c>
      <c r="G102" s="568" t="s">
        <v>709</v>
      </c>
      <c r="H102" s="539">
        <v>0.78</v>
      </c>
      <c r="I102" s="538"/>
      <c r="J102" s="538">
        <v>30</v>
      </c>
      <c r="K102" s="539">
        <f>$H102*_xlfn.XLOOKUP($G102,'Baumaterialien Matériaux'!$A:$A,'Baumaterialien Matériaux'!V:V,0,0)</f>
        <v>195.78</v>
      </c>
      <c r="L102" s="539">
        <f>$H102*_xlfn.XLOOKUP($G102,'Baumaterialien Matériaux'!$A:$A,'Baumaterialien Matériaux'!Y:Y,0,0)</f>
        <v>3.1355999999999997</v>
      </c>
      <c r="M102" s="539">
        <f>$H102*_xlfn.XLOOKUP($G102,'Baumaterialien Matériaux'!$A:$A,'Baumaterialien Matériaux'!AA:AA,0,0)</f>
        <v>48.438000000000002</v>
      </c>
      <c r="N102" s="539">
        <f>$H102*_xlfn.XLOOKUP($G102,'Baumaterialien Matériaux'!$A:$A,'Baumaterialien Matériaux'!AB:AB,0,0)</f>
        <v>4.4460000000000006</v>
      </c>
      <c r="O102" s="539">
        <f>$H102*_xlfn.XLOOKUP($G102,'Baumaterialien Matériaux'!$A:$A,'Baumaterialien Matériaux'!AC:AC,0,0)*44/12</f>
        <v>0</v>
      </c>
      <c r="P102" s="539">
        <f>$H102*_xlfn.XLOOKUP($G102,'Baumaterialien Matériaux'!$A:$A,'Baumaterialien Matériaux'!AG:AG,0,0)</f>
        <v>0</v>
      </c>
      <c r="Q102" s="539">
        <f>$H102*_xlfn.XLOOKUP($G102,'Baumaterialien Matériaux'!$A:$A,'Baumaterialien Matériaux'!AH:AH,0,0)</f>
        <v>0</v>
      </c>
      <c r="V102" s="1785">
        <f t="shared" si="22"/>
        <v>0</v>
      </c>
    </row>
    <row r="103" spans="1:86" s="540" customFormat="1">
      <c r="B103" s="1934"/>
      <c r="C103" s="538" t="s">
        <v>710</v>
      </c>
      <c r="D103" s="538" t="str">
        <f>VLOOKUP(G103,'Baumaterialien Matériaux'!$A$10:$AD$432,30,FALSE)</f>
        <v>Protection solaire, stores vénitiens avec moteur 4</v>
      </c>
      <c r="E103" s="1785"/>
      <c r="F103" s="538" t="str">
        <f>VLOOKUP(G103,'Baumaterialien Matériaux'!$A$10:$AD$432,7,FALSE)</f>
        <v>m2</v>
      </c>
      <c r="G103" s="568" t="s">
        <v>711</v>
      </c>
      <c r="H103" s="539">
        <v>1</v>
      </c>
      <c r="I103" s="538"/>
      <c r="J103" s="538">
        <v>30</v>
      </c>
      <c r="K103" s="539">
        <f>$H103*_xlfn.XLOOKUP($G103,'Baumaterialien Matériaux'!$A:$A,'Baumaterialien Matériaux'!V:V,0,0)</f>
        <v>248</v>
      </c>
      <c r="L103" s="539">
        <f>$H103*_xlfn.XLOOKUP($G103,'Baumaterialien Matériaux'!$A:$A,'Baumaterialien Matériaux'!Y:Y,0,0)</f>
        <v>0.434</v>
      </c>
      <c r="M103" s="539">
        <f>$H103*_xlfn.XLOOKUP($G103,'Baumaterialien Matériaux'!$A:$A,'Baumaterialien Matériaux'!AA:AA,0,0)</f>
        <v>58.5</v>
      </c>
      <c r="N103" s="539">
        <f>$H103*_xlfn.XLOOKUP($G103,'Baumaterialien Matériaux'!$A:$A,'Baumaterialien Matériaux'!AB:AB,0,0)</f>
        <v>1.47</v>
      </c>
      <c r="O103" s="539">
        <f>$H103*_xlfn.XLOOKUP($G103,'Baumaterialien Matériaux'!$A:$A,'Baumaterialien Matériaux'!AC:AC,0,0)*44/12</f>
        <v>0</v>
      </c>
      <c r="P103" s="539">
        <f>$H103*_xlfn.XLOOKUP($G103,'Baumaterialien Matériaux'!$A:$A,'Baumaterialien Matériaux'!AG:AG,0,0)</f>
        <v>0</v>
      </c>
      <c r="Q103" s="539">
        <f>$H103*_xlfn.XLOOKUP($G103,'Baumaterialien Matériaux'!$A:$A,'Baumaterialien Matériaux'!AH:AH,0,0)</f>
        <v>0</v>
      </c>
      <c r="V103" s="1785">
        <f t="shared" si="22"/>
        <v>0</v>
      </c>
    </row>
    <row r="104" spans="1:86" s="577" customFormat="1" ht="15.75" thickBot="1">
      <c r="B104" s="578"/>
      <c r="G104" s="579"/>
      <c r="J104" s="589">
        <v>30</v>
      </c>
      <c r="K104" s="581">
        <f t="shared" ref="K104:L104" si="31">SUM(K101:K103)</f>
        <v>741.78</v>
      </c>
      <c r="L104" s="581">
        <f t="shared" si="31"/>
        <v>5.4596</v>
      </c>
      <c r="M104" s="581">
        <f t="shared" ref="M104:Q104" si="32">SUM(M101:M103)</f>
        <v>165.53800000000001</v>
      </c>
      <c r="N104" s="581">
        <f t="shared" si="32"/>
        <v>13.026000000000002</v>
      </c>
      <c r="O104" s="581">
        <f t="shared" si="32"/>
        <v>22.916666666666668</v>
      </c>
      <c r="P104" s="581">
        <f t="shared" si="32"/>
        <v>0</v>
      </c>
      <c r="Q104" s="581">
        <f t="shared" si="32"/>
        <v>0</v>
      </c>
      <c r="R104" s="540"/>
      <c r="S104" s="540">
        <f>(M104+N104)/J103</f>
        <v>5.9521333333333342</v>
      </c>
      <c r="T104" s="540">
        <v>5.24</v>
      </c>
      <c r="U104" s="540"/>
      <c r="V104" s="1785">
        <f t="shared" si="22"/>
        <v>0</v>
      </c>
      <c r="W104" s="540"/>
      <c r="X104" s="540"/>
      <c r="Y104" s="540"/>
      <c r="Z104" s="540"/>
      <c r="AA104" s="540"/>
      <c r="AB104" s="540"/>
      <c r="AC104" s="540"/>
      <c r="AD104" s="540"/>
      <c r="AE104" s="540"/>
      <c r="AF104" s="540"/>
      <c r="AG104" s="540"/>
      <c r="AH104" s="540"/>
      <c r="AI104" s="540"/>
      <c r="AJ104" s="540"/>
      <c r="AK104" s="540"/>
      <c r="AL104" s="540"/>
      <c r="AM104" s="540"/>
      <c r="AN104" s="540"/>
      <c r="AO104" s="540"/>
      <c r="AP104" s="540"/>
      <c r="AQ104" s="540"/>
      <c r="AR104" s="540"/>
      <c r="AS104" s="540"/>
      <c r="AT104" s="540"/>
      <c r="AU104" s="540"/>
      <c r="AV104" s="540"/>
      <c r="AW104" s="540"/>
      <c r="AX104" s="540"/>
      <c r="AY104" s="540"/>
      <c r="AZ104" s="540"/>
      <c r="BA104" s="540"/>
      <c r="BB104" s="540"/>
      <c r="BC104" s="540"/>
      <c r="BD104" s="540"/>
      <c r="BE104" s="540"/>
      <c r="BF104" s="540"/>
      <c r="BG104" s="540"/>
      <c r="BH104" s="540"/>
      <c r="BI104" s="540"/>
      <c r="BJ104" s="540"/>
      <c r="BK104" s="540"/>
      <c r="BL104" s="540"/>
      <c r="BM104" s="540"/>
      <c r="BN104" s="540"/>
      <c r="BO104" s="540"/>
      <c r="BP104" s="540"/>
      <c r="BQ104" s="540"/>
      <c r="BR104" s="540"/>
      <c r="BS104" s="540"/>
      <c r="BT104" s="540"/>
      <c r="BU104" s="540"/>
      <c r="BV104" s="540"/>
      <c r="BW104" s="540"/>
      <c r="BX104" s="540"/>
      <c r="BY104" s="540"/>
      <c r="BZ104" s="540"/>
      <c r="CA104" s="540"/>
      <c r="CB104" s="540"/>
      <c r="CC104" s="540"/>
      <c r="CD104" s="540"/>
      <c r="CE104" s="540"/>
      <c r="CF104" s="540"/>
      <c r="CG104" s="540"/>
      <c r="CH104" s="540"/>
    </row>
    <row r="105" spans="1:86" ht="15.75" thickTop="1">
      <c r="J105" s="1"/>
      <c r="K105" s="842"/>
      <c r="L105" s="842"/>
      <c r="M105" s="842"/>
      <c r="N105" s="842"/>
      <c r="O105" s="842"/>
      <c r="P105" s="842"/>
      <c r="Q105" s="842"/>
      <c r="V105" s="1785">
        <f t="shared" si="22"/>
        <v>0</v>
      </c>
    </row>
    <row r="106" spans="1:86" s="557" customFormat="1">
      <c r="A106" s="1056" t="s">
        <v>3658</v>
      </c>
      <c r="B106" s="1934" t="s">
        <v>705</v>
      </c>
      <c r="C106" s="538" t="s">
        <v>706</v>
      </c>
      <c r="D106" s="538" t="str">
        <f>VLOOKUP(G106,'Baumaterialien Matériaux'!$A$10:$AD$432,30,FALSE)</f>
        <v>Cadre de fenêtre en bois</v>
      </c>
      <c r="E106" s="1785"/>
      <c r="F106" s="538" t="str">
        <f>VLOOKUP(G106,'Baumaterialien Matériaux'!$A$10:$AD$432,7,FALSE)</f>
        <v>m2</v>
      </c>
      <c r="G106" s="603" t="s">
        <v>1490</v>
      </c>
      <c r="H106" s="539">
        <v>1</v>
      </c>
      <c r="I106" s="538"/>
      <c r="J106" s="538">
        <v>30</v>
      </c>
      <c r="K106" s="539">
        <f>$H106*_xlfn.XLOOKUP($G106,'Baumaterialien Matériaux'!$A:$A,'Baumaterialien Matériaux'!V:V,0,0)</f>
        <v>170</v>
      </c>
      <c r="L106" s="539">
        <f>$H106*_xlfn.XLOOKUP($G106,'Baumaterialien Matériaux'!$A:$A,'Baumaterialien Matériaux'!Y:Y,0,0)</f>
        <v>2</v>
      </c>
      <c r="M106" s="539">
        <f>$H106*_xlfn.XLOOKUP($G106,'Baumaterialien Matériaux'!$A:$A,'Baumaterialien Matériaux'!AA:AA,0,0)</f>
        <v>30.3</v>
      </c>
      <c r="N106" s="539">
        <f>$H106*_xlfn.XLOOKUP($G106,'Baumaterialien Matériaux'!$A:$A,'Baumaterialien Matériaux'!AB:AB,0,0)</f>
        <v>5.89</v>
      </c>
      <c r="O106" s="539">
        <f>$H106*_xlfn.XLOOKUP($G106,'Baumaterialien Matériaux'!$A:$A,'Baumaterialien Matériaux'!AC:AC,0,0)*44/12</f>
        <v>27.5</v>
      </c>
      <c r="P106" s="539">
        <f>$H106*_xlfn.XLOOKUP($G106,'Baumaterialien Matériaux'!$A:$A,'Baumaterialien Matériaux'!AG:AG,0,0)</f>
        <v>0</v>
      </c>
      <c r="Q106" s="539">
        <f>$H106*_xlfn.XLOOKUP($G106,'Baumaterialien Matériaux'!$A:$A,'Baumaterialien Matériaux'!AH:AH,0,0)</f>
        <v>0</v>
      </c>
      <c r="R106" s="540"/>
      <c r="S106" s="540"/>
      <c r="T106" s="540"/>
      <c r="U106" s="540"/>
      <c r="V106" s="1785">
        <f t="shared" si="22"/>
        <v>0</v>
      </c>
      <c r="W106" s="540"/>
      <c r="X106" s="540"/>
      <c r="Y106" s="540"/>
      <c r="Z106" s="540"/>
      <c r="AA106" s="540"/>
      <c r="AB106" s="540"/>
      <c r="AC106" s="540"/>
      <c r="AD106" s="540"/>
      <c r="AE106" s="540"/>
      <c r="AF106" s="540"/>
      <c r="AG106" s="540"/>
      <c r="AH106" s="540"/>
      <c r="AI106" s="540"/>
      <c r="AJ106" s="540"/>
      <c r="AK106" s="540"/>
      <c r="AL106" s="540"/>
      <c r="AM106" s="540"/>
      <c r="AN106" s="540"/>
      <c r="AO106" s="540"/>
      <c r="AP106" s="540"/>
      <c r="AQ106" s="540"/>
      <c r="AR106" s="540"/>
      <c r="AS106" s="540"/>
      <c r="AT106" s="540"/>
      <c r="AU106" s="540"/>
      <c r="AV106" s="540"/>
      <c r="AW106" s="540"/>
      <c r="AX106" s="540"/>
      <c r="AY106" s="540"/>
      <c r="AZ106" s="540"/>
      <c r="BA106" s="540"/>
      <c r="BB106" s="540"/>
      <c r="BC106" s="540"/>
      <c r="BD106" s="540"/>
      <c r="BE106" s="540"/>
      <c r="BF106" s="540"/>
      <c r="BG106" s="540"/>
      <c r="BH106" s="540"/>
      <c r="BI106" s="540"/>
      <c r="BJ106" s="540"/>
      <c r="BK106" s="540"/>
      <c r="BL106" s="540"/>
      <c r="BM106" s="540"/>
      <c r="BN106" s="540"/>
      <c r="BO106" s="540"/>
      <c r="BP106" s="540"/>
      <c r="BQ106" s="540"/>
      <c r="BR106" s="540"/>
      <c r="BS106" s="540"/>
      <c r="BT106" s="540"/>
      <c r="BU106" s="540"/>
      <c r="BV106" s="540"/>
      <c r="BW106" s="540"/>
      <c r="BX106" s="540"/>
      <c r="BY106" s="540"/>
      <c r="BZ106" s="540"/>
      <c r="CA106" s="540"/>
      <c r="CB106" s="540"/>
      <c r="CC106" s="540"/>
      <c r="CD106" s="540"/>
      <c r="CE106" s="540"/>
      <c r="CF106" s="540"/>
      <c r="CG106" s="540"/>
      <c r="CH106" s="540"/>
    </row>
    <row r="107" spans="1:86" s="540" customFormat="1">
      <c r="B107" s="1934"/>
      <c r="C107" s="538" t="s">
        <v>708</v>
      </c>
      <c r="D107" s="538" t="str">
        <f>VLOOKUP(G107,'Baumaterialien Matériaux'!$A$10:$AD$432,30,FALSE)</f>
        <v>Triple vitrage, U&lt;0.6 W/m2K, épaisseur 40 mm 3</v>
      </c>
      <c r="E107" s="1785"/>
      <c r="F107" s="538" t="str">
        <f>VLOOKUP(G107,'Baumaterialien Matériaux'!$A$10:$AD$432,7,FALSE)</f>
        <v>m2</v>
      </c>
      <c r="G107" s="568" t="s">
        <v>709</v>
      </c>
      <c r="H107" s="539">
        <v>0.78</v>
      </c>
      <c r="I107" s="538"/>
      <c r="J107" s="538">
        <v>30</v>
      </c>
      <c r="K107" s="539">
        <f>$H107*_xlfn.XLOOKUP($G107,'Baumaterialien Matériaux'!$A:$A,'Baumaterialien Matériaux'!V:V,0,0)</f>
        <v>195.78</v>
      </c>
      <c r="L107" s="539">
        <f>$H107*_xlfn.XLOOKUP($G107,'Baumaterialien Matériaux'!$A:$A,'Baumaterialien Matériaux'!Y:Y,0,0)</f>
        <v>3.1355999999999997</v>
      </c>
      <c r="M107" s="539">
        <f>$H107*_xlfn.XLOOKUP($G107,'Baumaterialien Matériaux'!$A:$A,'Baumaterialien Matériaux'!AA:AA,0,0)</f>
        <v>48.438000000000002</v>
      </c>
      <c r="N107" s="539">
        <f>$H107*_xlfn.XLOOKUP($G107,'Baumaterialien Matériaux'!$A:$A,'Baumaterialien Matériaux'!AB:AB,0,0)</f>
        <v>4.4460000000000006</v>
      </c>
      <c r="O107" s="539">
        <f>$H107*_xlfn.XLOOKUP($G107,'Baumaterialien Matériaux'!$A:$A,'Baumaterialien Matériaux'!AC:AC,0,0)*44/12</f>
        <v>0</v>
      </c>
      <c r="P107" s="539">
        <f>$H107*_xlfn.XLOOKUP($G107,'Baumaterialien Matériaux'!$A:$A,'Baumaterialien Matériaux'!AG:AG,0,0)</f>
        <v>0</v>
      </c>
      <c r="Q107" s="539">
        <f>$H107*_xlfn.XLOOKUP($G107,'Baumaterialien Matériaux'!$A:$A,'Baumaterialien Matériaux'!AH:AH,0,0)</f>
        <v>0</v>
      </c>
      <c r="V107" s="1785">
        <f t="shared" si="22"/>
        <v>0</v>
      </c>
    </row>
    <row r="108" spans="1:86" s="540" customFormat="1">
      <c r="B108" s="1934"/>
      <c r="C108" s="538" t="s">
        <v>710</v>
      </c>
      <c r="D108" s="538" t="str">
        <f>VLOOKUP(G108,'Baumaterialien Matériaux'!$A$10:$AD$432,30,FALSE)</f>
        <v>Protection solaire, stores vénitiens avec moteur 4</v>
      </c>
      <c r="E108" s="1785"/>
      <c r="F108" s="538" t="str">
        <f>VLOOKUP(G108,'Baumaterialien Matériaux'!$A$10:$AD$432,7,FALSE)</f>
        <v>m2</v>
      </c>
      <c r="G108" s="568" t="s">
        <v>711</v>
      </c>
      <c r="H108" s="539">
        <v>1</v>
      </c>
      <c r="I108" s="538"/>
      <c r="J108" s="538">
        <v>30</v>
      </c>
      <c r="K108" s="539">
        <f>$H108*_xlfn.XLOOKUP($G108,'Baumaterialien Matériaux'!$A:$A,'Baumaterialien Matériaux'!V:V,0,0)</f>
        <v>248</v>
      </c>
      <c r="L108" s="539">
        <f>$H108*_xlfn.XLOOKUP($G108,'Baumaterialien Matériaux'!$A:$A,'Baumaterialien Matériaux'!Y:Y,0,0)</f>
        <v>0.434</v>
      </c>
      <c r="M108" s="539">
        <f>$H108*_xlfn.XLOOKUP($G108,'Baumaterialien Matériaux'!$A:$A,'Baumaterialien Matériaux'!AA:AA,0,0)</f>
        <v>58.5</v>
      </c>
      <c r="N108" s="539">
        <f>$H108*_xlfn.XLOOKUP($G108,'Baumaterialien Matériaux'!$A:$A,'Baumaterialien Matériaux'!AB:AB,0,0)</f>
        <v>1.47</v>
      </c>
      <c r="O108" s="539">
        <f>$H108*_xlfn.XLOOKUP($G108,'Baumaterialien Matériaux'!$A:$A,'Baumaterialien Matériaux'!AC:AC,0,0)*44/12</f>
        <v>0</v>
      </c>
      <c r="P108" s="539">
        <f>$H108*_xlfn.XLOOKUP($G108,'Baumaterialien Matériaux'!$A:$A,'Baumaterialien Matériaux'!AG:AG,0,0)</f>
        <v>0</v>
      </c>
      <c r="Q108" s="539">
        <f>$H108*_xlfn.XLOOKUP($G108,'Baumaterialien Matériaux'!$A:$A,'Baumaterialien Matériaux'!AH:AH,0,0)</f>
        <v>0</v>
      </c>
      <c r="V108" s="1785">
        <f t="shared" si="22"/>
        <v>0</v>
      </c>
    </row>
    <row r="109" spans="1:86" s="577" customFormat="1" ht="15.75" thickBot="1">
      <c r="B109" s="578"/>
      <c r="G109" s="579"/>
      <c r="J109" s="589">
        <v>30</v>
      </c>
      <c r="K109" s="581">
        <f t="shared" ref="K109:L109" si="33">SUM(K106:K108)</f>
        <v>613.78</v>
      </c>
      <c r="L109" s="581">
        <f t="shared" si="33"/>
        <v>5.5696000000000003</v>
      </c>
      <c r="M109" s="581">
        <f t="shared" ref="M109:Q109" si="34">SUM(M106:M108)</f>
        <v>137.238</v>
      </c>
      <c r="N109" s="581">
        <f t="shared" si="34"/>
        <v>11.806000000000001</v>
      </c>
      <c r="O109" s="581">
        <f t="shared" si="34"/>
        <v>27.5</v>
      </c>
      <c r="P109" s="581">
        <f t="shared" si="34"/>
        <v>0</v>
      </c>
      <c r="Q109" s="581">
        <f t="shared" si="34"/>
        <v>0</v>
      </c>
      <c r="R109" s="540"/>
      <c r="S109" s="540">
        <f>(M109+N109)/J108</f>
        <v>4.9681333333333333</v>
      </c>
      <c r="T109" s="540">
        <v>5.24</v>
      </c>
      <c r="U109" s="540"/>
      <c r="V109" s="1785">
        <f t="shared" si="22"/>
        <v>0</v>
      </c>
      <c r="W109" s="540"/>
      <c r="X109" s="540"/>
      <c r="Y109" s="540"/>
      <c r="Z109" s="540"/>
      <c r="AA109" s="540"/>
      <c r="AB109" s="540"/>
      <c r="AC109" s="540"/>
      <c r="AD109" s="540"/>
      <c r="AE109" s="540"/>
      <c r="AF109" s="540"/>
      <c r="AG109" s="540"/>
      <c r="AH109" s="540"/>
      <c r="AI109" s="540"/>
      <c r="AJ109" s="540"/>
      <c r="AK109" s="540"/>
      <c r="AL109" s="540"/>
      <c r="AM109" s="540"/>
      <c r="AN109" s="540"/>
      <c r="AO109" s="540"/>
      <c r="AP109" s="540"/>
      <c r="AQ109" s="540"/>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BT109" s="540"/>
      <c r="BU109" s="540"/>
      <c r="BV109" s="540"/>
      <c r="BW109" s="540"/>
      <c r="BX109" s="540"/>
      <c r="BY109" s="540"/>
      <c r="BZ109" s="540"/>
      <c r="CA109" s="540"/>
      <c r="CB109" s="540"/>
      <c r="CC109" s="540"/>
      <c r="CD109" s="540"/>
      <c r="CE109" s="540"/>
      <c r="CF109" s="540"/>
      <c r="CG109" s="540"/>
      <c r="CH109" s="540"/>
    </row>
    <row r="110" spans="1:86" ht="15" thickTop="1">
      <c r="K110" s="126"/>
      <c r="L110" s="126"/>
      <c r="M110" s="126"/>
      <c r="N110" s="126"/>
      <c r="O110" s="126"/>
      <c r="P110" s="126"/>
      <c r="Q110" s="126"/>
      <c r="V110" s="1785">
        <f t="shared" si="22"/>
        <v>0</v>
      </c>
    </row>
    <row r="111" spans="1:86" s="582" customFormat="1" ht="14.1" customHeight="1">
      <c r="A111" s="263" t="s">
        <v>712</v>
      </c>
      <c r="B111" s="1941" t="s">
        <v>713</v>
      </c>
      <c r="C111" s="163" t="s">
        <v>714</v>
      </c>
      <c r="D111" s="163" t="str">
        <f>VLOOKUP(G111,'Baumaterialien Matériaux'!$A$10:$AD$432,30,FALSE)</f>
        <v>Façade, à montants et traverses, Alu/Glas</v>
      </c>
      <c r="E111" s="1409"/>
      <c r="F111" s="163" t="str">
        <f>VLOOKUP(G111,'Baumaterialien Matériaux'!$A$10:$AD$432,7,FALSE)</f>
        <v>m2</v>
      </c>
      <c r="G111" s="281" t="s">
        <v>715</v>
      </c>
      <c r="H111" s="259">
        <v>0.78</v>
      </c>
      <c r="I111" s="163"/>
      <c r="J111" s="163">
        <v>40</v>
      </c>
      <c r="K111" s="259">
        <f>$H111*_xlfn.XLOOKUP($G111,'Baumaterialien Matériaux'!$A:$A,'Baumaterialien Matériaux'!V:V,0,0)</f>
        <v>544.44000000000005</v>
      </c>
      <c r="L111" s="259">
        <f>$H111*_xlfn.XLOOKUP($G111,'Baumaterialien Matériaux'!$A:$A,'Baumaterialien Matériaux'!Y:Y,0,0)</f>
        <v>4.0794000000000006</v>
      </c>
      <c r="M111" s="259">
        <f>$H111*_xlfn.XLOOKUP($G111,'Baumaterialien Matériaux'!$A:$A,'Baumaterialien Matériaux'!AA:AA,0,0)</f>
        <v>131.82</v>
      </c>
      <c r="N111" s="259">
        <f>$H111*_xlfn.XLOOKUP($G111,'Baumaterialien Matériaux'!$A:$A,'Baumaterialien Matériaux'!AB:AB,0,0)</f>
        <v>10.218</v>
      </c>
      <c r="O111" s="259">
        <f>$H111*_xlfn.XLOOKUP($G111,'Baumaterialien Matériaux'!$A:$A,'Baumaterialien Matériaux'!AC:AC,0,0)*44/12</f>
        <v>0</v>
      </c>
      <c r="P111" s="259">
        <f>$H111*_xlfn.XLOOKUP($G111,'Baumaterialien Matériaux'!$A:$A,'Baumaterialien Matériaux'!AG:AG,0,0)</f>
        <v>0</v>
      </c>
      <c r="Q111" s="259">
        <f>$H111*_xlfn.XLOOKUP($G111,'Baumaterialien Matériaux'!$A:$A,'Baumaterialien Matériaux'!AH:AH,0,0)</f>
        <v>0</v>
      </c>
      <c r="R111" s="1096"/>
      <c r="S111" s="1096"/>
      <c r="T111" s="1096"/>
      <c r="U111" s="1096"/>
      <c r="V111" s="1785">
        <f t="shared" si="22"/>
        <v>0</v>
      </c>
      <c r="W111" s="1096"/>
      <c r="X111" s="1096"/>
      <c r="Y111" s="1096"/>
      <c r="Z111" s="1096"/>
      <c r="AA111" s="1096"/>
      <c r="AB111" s="1096"/>
      <c r="AC111" s="1096"/>
      <c r="AD111" s="1096"/>
      <c r="AE111" s="1096"/>
      <c r="AF111" s="1096"/>
      <c r="AG111" s="1096"/>
      <c r="AH111" s="1096"/>
      <c r="AI111" s="1096"/>
      <c r="AJ111" s="1096"/>
      <c r="AK111" s="1096"/>
      <c r="AL111" s="1096"/>
      <c r="AM111" s="1096"/>
      <c r="AN111" s="1096"/>
      <c r="AO111" s="1096"/>
      <c r="AP111" s="1096"/>
      <c r="AQ111" s="1096"/>
      <c r="AR111" s="1096"/>
      <c r="AS111" s="1096"/>
      <c r="AT111" s="1096"/>
      <c r="AU111" s="1096"/>
      <c r="AV111" s="1096"/>
      <c r="AW111" s="1096"/>
      <c r="AX111" s="1096"/>
      <c r="AY111" s="1096"/>
      <c r="AZ111" s="1096"/>
      <c r="BA111" s="1096"/>
      <c r="BB111" s="1096"/>
      <c r="BC111" s="1096"/>
      <c r="BD111" s="1096"/>
      <c r="BE111" s="1096"/>
      <c r="BF111" s="1096"/>
      <c r="BG111" s="1096"/>
      <c r="BH111" s="1096"/>
      <c r="BI111" s="1096"/>
      <c r="BJ111" s="1096"/>
      <c r="BK111" s="1096"/>
      <c r="BL111" s="1096"/>
      <c r="BM111" s="1096"/>
      <c r="BN111" s="1096"/>
      <c r="BO111" s="1096"/>
      <c r="BP111" s="1096"/>
      <c r="BQ111" s="1096"/>
      <c r="BR111" s="1096"/>
      <c r="BS111" s="1096"/>
      <c r="BT111" s="1096"/>
      <c r="BU111" s="1096"/>
      <c r="BV111" s="1096"/>
      <c r="BW111" s="1096"/>
      <c r="BX111" s="1096"/>
      <c r="BY111" s="1096"/>
      <c r="BZ111" s="1096"/>
      <c r="CA111" s="1096"/>
      <c r="CB111" s="1096"/>
      <c r="CC111" s="1096"/>
      <c r="CD111" s="1096"/>
      <c r="CE111" s="1096"/>
      <c r="CF111" s="1096"/>
      <c r="CG111" s="1096"/>
      <c r="CH111" s="1096"/>
    </row>
    <row r="112" spans="1:86" s="159" customFormat="1" ht="15.75">
      <c r="A112" s="1047"/>
      <c r="B112" s="1941"/>
      <c r="C112" s="163" t="s">
        <v>710</v>
      </c>
      <c r="D112" s="163" t="str">
        <f>VLOOKUP(G112,'Baumaterialien Matériaux'!$A$10:$AD$432,30,FALSE)</f>
        <v>Protection solaire, stores vénitiens avec moteur 4</v>
      </c>
      <c r="E112" s="1409"/>
      <c r="F112" s="163" t="str">
        <f>VLOOKUP(G112,'Baumaterialien Matériaux'!$A$10:$AD$432,7,FALSE)</f>
        <v>m2</v>
      </c>
      <c r="G112" s="281" t="s">
        <v>711</v>
      </c>
      <c r="H112" s="259">
        <f>H111/2</f>
        <v>0.39</v>
      </c>
      <c r="I112" s="163"/>
      <c r="J112" s="163">
        <v>40</v>
      </c>
      <c r="K112" s="259">
        <f>$H112*_xlfn.XLOOKUP($G112,'Baumaterialien Matériaux'!$A:$A,'Baumaterialien Matériaux'!V:V,0,0)</f>
        <v>96.72</v>
      </c>
      <c r="L112" s="259">
        <f>$H112*_xlfn.XLOOKUP($G112,'Baumaterialien Matériaux'!$A:$A,'Baumaterialien Matériaux'!Y:Y,0,0)</f>
        <v>0.16925999999999999</v>
      </c>
      <c r="M112" s="259">
        <f>$H112*_xlfn.XLOOKUP($G112,'Baumaterialien Matériaux'!$A:$A,'Baumaterialien Matériaux'!AA:AA,0,0)</f>
        <v>22.815000000000001</v>
      </c>
      <c r="N112" s="259">
        <f>$H112*_xlfn.XLOOKUP($G112,'Baumaterialien Matériaux'!$A:$A,'Baumaterialien Matériaux'!AB:AB,0,0)</f>
        <v>0.57330000000000003</v>
      </c>
      <c r="O112" s="259">
        <f>$H112*_xlfn.XLOOKUP($G112,'Baumaterialien Matériaux'!$A:$A,'Baumaterialien Matériaux'!AC:AC,0,0)*44/12</f>
        <v>0</v>
      </c>
      <c r="P112" s="259">
        <f>$H112*_xlfn.XLOOKUP($G112,'Baumaterialien Matériaux'!$A:$A,'Baumaterialien Matériaux'!AG:AG,0,0)</f>
        <v>0</v>
      </c>
      <c r="Q112" s="259">
        <f>$H112*_xlfn.XLOOKUP($G112,'Baumaterialien Matériaux'!$A:$A,'Baumaterialien Matériaux'!AH:AH,0,0)</f>
        <v>0</v>
      </c>
      <c r="V112" s="1785">
        <f t="shared" si="22"/>
        <v>0</v>
      </c>
      <c r="AB112"/>
    </row>
    <row r="113" spans="1:86" s="159" customFormat="1">
      <c r="A113" s="269"/>
      <c r="B113" s="1941"/>
      <c r="C113" s="163" t="s">
        <v>716</v>
      </c>
      <c r="D113" s="163" t="str">
        <f>VLOOKUP(G113,'Baumaterialien Matériaux'!$A$10:$AD$432,30,FALSE)</f>
        <v>Protection solaire, stores à projection avec moteur 4</v>
      </c>
      <c r="E113" s="1409"/>
      <c r="F113" s="163" t="str">
        <f>VLOOKUP(G113,'Baumaterialien Matériaux'!$A$10:$AD$432,7,FALSE)</f>
        <v>m2</v>
      </c>
      <c r="G113" s="281" t="s">
        <v>717</v>
      </c>
      <c r="H113" s="259">
        <f>H111/2</f>
        <v>0.39</v>
      </c>
      <c r="I113" s="163"/>
      <c r="J113" s="163">
        <v>40</v>
      </c>
      <c r="K113" s="259">
        <f>$H113*_xlfn.XLOOKUP($G113,'Baumaterialien Matériaux'!$A:$A,'Baumaterialien Matériaux'!V:V,0,0)</f>
        <v>109.98</v>
      </c>
      <c r="L113" s="259">
        <f>$H113*_xlfn.XLOOKUP($G113,'Baumaterialien Matériaux'!$A:$A,'Baumaterialien Matériaux'!Y:Y,0,0)</f>
        <v>0.21138000000000001</v>
      </c>
      <c r="M113" s="259">
        <f>$H113*_xlfn.XLOOKUP($G113,'Baumaterialien Matériaux'!$A:$A,'Baumaterialien Matériaux'!AA:AA,0,0)</f>
        <v>25.701000000000004</v>
      </c>
      <c r="N113" s="259">
        <f>$H113*_xlfn.XLOOKUP($G113,'Baumaterialien Matériaux'!$A:$A,'Baumaterialien Matériaux'!AB:AB,0,0)</f>
        <v>0.74490000000000001</v>
      </c>
      <c r="O113" s="259">
        <f>$H113*_xlfn.XLOOKUP($G113,'Baumaterialien Matériaux'!$A:$A,'Baumaterialien Matériaux'!AC:AC,0,0)*44/12</f>
        <v>0</v>
      </c>
      <c r="P113" s="259">
        <f>$H113*_xlfn.XLOOKUP($G113,'Baumaterialien Matériaux'!$A:$A,'Baumaterialien Matériaux'!AG:AG,0,0)</f>
        <v>0</v>
      </c>
      <c r="Q113" s="259">
        <f>$H113*_xlfn.XLOOKUP($G113,'Baumaterialien Matériaux'!$A:$A,'Baumaterialien Matériaux'!AH:AH,0,0)</f>
        <v>0</v>
      </c>
      <c r="V113" s="1785">
        <f t="shared" si="22"/>
        <v>0</v>
      </c>
    </row>
    <row r="114" spans="1:86" s="590" customFormat="1" ht="15.75" thickBot="1">
      <c r="G114" s="599"/>
      <c r="J114" s="600">
        <v>40</v>
      </c>
      <c r="K114" s="844">
        <f t="shared" ref="K114:L114" si="35">SUM(K111:K113)</f>
        <v>751.1400000000001</v>
      </c>
      <c r="L114" s="844">
        <f t="shared" si="35"/>
        <v>4.4600400000000011</v>
      </c>
      <c r="M114" s="844">
        <f t="shared" ref="M114:O114" si="36">SUM(M111:M113)</f>
        <v>180.33599999999998</v>
      </c>
      <c r="N114" s="844">
        <f t="shared" si="36"/>
        <v>11.536199999999999</v>
      </c>
      <c r="O114" s="844">
        <f t="shared" si="36"/>
        <v>0</v>
      </c>
      <c r="P114" s="844">
        <f t="shared" ref="P114:Q114" si="37">SUM(P111:P113)</f>
        <v>0</v>
      </c>
      <c r="Q114" s="844">
        <f t="shared" si="37"/>
        <v>0</v>
      </c>
      <c r="S114" s="540">
        <f>(M114+N114)/J113</f>
        <v>4.796805</v>
      </c>
      <c r="V114" s="1785">
        <f t="shared" si="22"/>
        <v>0</v>
      </c>
    </row>
    <row r="115" spans="1:86" ht="15" thickTop="1">
      <c r="K115" s="126"/>
      <c r="L115" s="126"/>
      <c r="M115" s="126"/>
      <c r="N115" s="126"/>
      <c r="O115" s="126"/>
      <c r="P115" s="126"/>
      <c r="Q115" s="126"/>
      <c r="V115" s="1785">
        <f t="shared" si="22"/>
        <v>0</v>
      </c>
    </row>
    <row r="116" spans="1:86" s="1022" customFormat="1" ht="17.25">
      <c r="A116" s="1023" t="s">
        <v>451</v>
      </c>
      <c r="C116" s="1023"/>
      <c r="D116" s="1023"/>
      <c r="E116" s="1023"/>
      <c r="F116" s="1023"/>
      <c r="G116" s="1024"/>
      <c r="H116" s="1023" t="s">
        <v>635</v>
      </c>
      <c r="I116" s="1023"/>
      <c r="K116" s="1025"/>
      <c r="L116" s="1025"/>
      <c r="M116" s="1025"/>
      <c r="N116" s="1025"/>
      <c r="O116" s="1025"/>
      <c r="P116" s="1025"/>
      <c r="Q116" s="1025"/>
      <c r="V116" s="1785">
        <f t="shared" si="22"/>
        <v>0</v>
      </c>
    </row>
    <row r="117" spans="1:86" s="624" customFormat="1" ht="15" thickBot="1">
      <c r="A117" s="624" t="s">
        <v>718</v>
      </c>
      <c r="C117" s="624" t="s">
        <v>719</v>
      </c>
      <c r="D117" s="580" t="str">
        <f>VLOOKUP(G117,'Baumaterialien Matériaux'!$A$10:$AD$432,30,FALSE)</f>
        <v>Portes extérieures aluminium, avec vitrage</v>
      </c>
      <c r="E117" s="580"/>
      <c r="F117" s="580" t="str">
        <f>VLOOKUP(G117,'Baumaterialien Matériaux'!$A$10:$AD$432,7,FALSE)</f>
        <v>m2</v>
      </c>
      <c r="G117" s="627" t="s">
        <v>720</v>
      </c>
      <c r="H117" s="624">
        <v>1</v>
      </c>
      <c r="J117" s="580">
        <v>30</v>
      </c>
      <c r="K117" s="836">
        <f>$H117*_xlfn.XLOOKUP($G117,'Baumaterialien Matériaux'!$A:$A,'Baumaterialien Matériaux'!V:V,0,0)</f>
        <v>906</v>
      </c>
      <c r="L117" s="836">
        <f>$H117*_xlfn.XLOOKUP($G117,'Baumaterialien Matériaux'!$A:$A,'Baumaterialien Matériaux'!Y:Y,0,0)</f>
        <v>5.34</v>
      </c>
      <c r="M117" s="836">
        <f>$H117*_xlfn.XLOOKUP($G117,'Baumaterialien Matériaux'!$A:$A,'Baumaterialien Matériaux'!AA:AA,0,0)</f>
        <v>201</v>
      </c>
      <c r="N117" s="836">
        <f>$H117*_xlfn.XLOOKUP($G117,'Baumaterialien Matériaux'!$A:$A,'Baumaterialien Matériaux'!AB:AB,0,0)</f>
        <v>14.8</v>
      </c>
      <c r="O117" s="836">
        <f>$H117*_xlfn.XLOOKUP($G117,'Baumaterialien Matériaux'!$A:$A,'Baumaterialien Matériaux'!AC:AC,0,0)*44/12</f>
        <v>0</v>
      </c>
      <c r="P117" s="836">
        <f>$H117*_xlfn.XLOOKUP($G117,'Baumaterialien Matériaux'!$A:$A,'Baumaterialien Matériaux'!AG:AG,0,0)</f>
        <v>0</v>
      </c>
      <c r="Q117" s="836">
        <f>$H117*_xlfn.XLOOKUP($G117,'Baumaterialien Matériaux'!$A:$A,'Baumaterialien Matériaux'!AH:AH,0,0)</f>
        <v>0</v>
      </c>
      <c r="R117" s="540"/>
      <c r="S117" s="540"/>
      <c r="T117" s="540"/>
      <c r="U117" s="540"/>
      <c r="V117" s="1785">
        <f t="shared" si="22"/>
        <v>0</v>
      </c>
      <c r="W117" s="540"/>
      <c r="X117" s="540"/>
      <c r="Y117" s="540"/>
      <c r="Z117" s="540"/>
      <c r="AA117" s="540"/>
      <c r="AB117" s="540"/>
      <c r="AC117" s="540"/>
      <c r="AD117" s="540"/>
      <c r="AE117" s="540"/>
      <c r="AF117" s="540"/>
      <c r="AG117" s="540"/>
      <c r="AH117" s="540"/>
      <c r="AI117" s="540"/>
      <c r="AJ117" s="540"/>
      <c r="AK117" s="540"/>
      <c r="AL117" s="540"/>
      <c r="AM117" s="540"/>
      <c r="AN117" s="540"/>
      <c r="AO117" s="540"/>
      <c r="AP117" s="540"/>
      <c r="AQ117" s="540"/>
      <c r="AR117" s="540"/>
      <c r="AS117" s="540"/>
      <c r="AT117" s="540"/>
      <c r="AU117" s="540"/>
      <c r="AV117" s="540"/>
      <c r="AW117" s="540"/>
      <c r="AX117" s="540"/>
      <c r="AY117" s="540"/>
      <c r="AZ117" s="540"/>
      <c r="BA117" s="540"/>
      <c r="BB117" s="540"/>
      <c r="BC117" s="540"/>
      <c r="BD117" s="540"/>
      <c r="BE117" s="540"/>
      <c r="BF117" s="540"/>
      <c r="BG117" s="540"/>
      <c r="BH117" s="540"/>
      <c r="BI117" s="540"/>
      <c r="BJ117" s="540"/>
      <c r="BK117" s="540"/>
      <c r="BL117" s="540"/>
      <c r="BM117" s="540"/>
      <c r="BN117" s="540"/>
      <c r="BO117" s="540"/>
      <c r="BP117" s="540"/>
      <c r="BQ117" s="540"/>
      <c r="BR117" s="540"/>
      <c r="BS117" s="540"/>
      <c r="BT117" s="540"/>
      <c r="BU117" s="540"/>
      <c r="BV117" s="540"/>
      <c r="BW117" s="540"/>
      <c r="BX117" s="540"/>
      <c r="BY117" s="540"/>
      <c r="BZ117" s="540"/>
      <c r="CA117" s="540"/>
      <c r="CB117" s="540"/>
      <c r="CC117" s="540"/>
      <c r="CD117" s="540"/>
      <c r="CE117" s="540"/>
      <c r="CF117" s="540"/>
      <c r="CG117" s="540"/>
      <c r="CH117" s="540"/>
    </row>
    <row r="118" spans="1:86" ht="15" thickTop="1">
      <c r="K118" s="126"/>
      <c r="L118" s="126"/>
      <c r="M118" s="126"/>
      <c r="N118" s="126"/>
      <c r="O118" s="126"/>
      <c r="P118" s="126"/>
      <c r="Q118" s="126"/>
      <c r="V118" s="1785">
        <f t="shared" si="22"/>
        <v>0</v>
      </c>
    </row>
    <row r="119" spans="1:86">
      <c r="K119" s="126"/>
      <c r="L119" s="126"/>
      <c r="M119" s="126"/>
      <c r="N119" s="126"/>
      <c r="O119" s="126"/>
      <c r="P119" s="126"/>
      <c r="Q119" s="126"/>
      <c r="V119" s="1785">
        <f t="shared" si="22"/>
        <v>0</v>
      </c>
    </row>
    <row r="120" spans="1:86" s="134" customFormat="1" ht="17.25">
      <c r="A120" s="132" t="s">
        <v>431</v>
      </c>
      <c r="B120" s="132" t="s">
        <v>431</v>
      </c>
      <c r="C120" s="132"/>
      <c r="D120" s="132"/>
      <c r="E120" s="132"/>
      <c r="F120" s="132"/>
      <c r="G120" s="504"/>
      <c r="H120" s="132" t="s">
        <v>635</v>
      </c>
      <c r="I120" s="132"/>
      <c r="K120" s="804"/>
      <c r="L120" s="804"/>
      <c r="M120" s="804"/>
      <c r="N120" s="804"/>
      <c r="O120" s="804"/>
      <c r="P120" s="804"/>
      <c r="Q120" s="804"/>
      <c r="V120" s="1785">
        <f t="shared" si="22"/>
        <v>0</v>
      </c>
    </row>
    <row r="121" spans="1:86">
      <c r="K121" s="126"/>
      <c r="L121" s="126"/>
      <c r="M121" s="126"/>
      <c r="N121" s="126"/>
      <c r="O121" s="126"/>
      <c r="P121" s="126"/>
      <c r="Q121" s="126"/>
      <c r="V121" s="1785">
        <f t="shared" si="22"/>
        <v>0</v>
      </c>
    </row>
    <row r="122" spans="1:86" s="557" customFormat="1" ht="15">
      <c r="A122" s="1056" t="s">
        <v>721</v>
      </c>
      <c r="B122" s="1934" t="s">
        <v>722</v>
      </c>
      <c r="C122" s="538" t="s">
        <v>723</v>
      </c>
      <c r="D122" s="538" t="str">
        <f>VLOOKUP(G122,'Baumaterialien Matériaux'!$A$10:$AD$432,30,FALSE)</f>
        <v>Béton pour bâtiment (sans armature)</v>
      </c>
      <c r="E122" s="1785"/>
      <c r="F122" s="538" t="str">
        <f>VLOOKUP(G122,'Baumaterialien Matériaux'!$A$10:$AD$432,7,FALSE)</f>
        <v>kg</v>
      </c>
      <c r="G122" s="561" t="s">
        <v>570</v>
      </c>
      <c r="H122" s="539">
        <f>(0.25-H123/7850)*2300</f>
        <v>568.40764331210187</v>
      </c>
      <c r="I122" s="1056"/>
      <c r="J122" s="594">
        <v>60</v>
      </c>
      <c r="K122" s="845">
        <f>$H122*_xlfn.XLOOKUP($G122,'Baumaterialien Matériaux'!$A:$A,'Baumaterialien Matériaux'!V:V,0,0)</f>
        <v>69.914140127388535</v>
      </c>
      <c r="L122" s="845">
        <f>$H122*_xlfn.XLOOKUP($G122,'Baumaterialien Matériaux'!$A:$A,'Baumaterialien Matériaux'!Y:Y,0,0)</f>
        <v>29.159312101910825</v>
      </c>
      <c r="M122" s="845">
        <f>$H122*_xlfn.XLOOKUP($G122,'Baumaterialien Matériaux'!$A:$A,'Baumaterialien Matériaux'!AA:AA,0,0)</f>
        <v>50.417757961783437</v>
      </c>
      <c r="N122" s="845">
        <f>$H122*_xlfn.XLOOKUP($G122,'Baumaterialien Matériaux'!$A:$A,'Baumaterialien Matériaux'!AB:AB,0,0)</f>
        <v>7.1619363057324836</v>
      </c>
      <c r="O122" s="845">
        <f>$H122*_xlfn.XLOOKUP($G122,'Baumaterialien Matériaux'!$A:$A,'Baumaterialien Matériaux'!AC:AC,0,0)*44/12</f>
        <v>0</v>
      </c>
      <c r="P122" s="845">
        <f>$H122*_xlfn.XLOOKUP($G122,'Baumaterialien Matériaux'!$A:$A,'Baumaterialien Matériaux'!AG:AG,0,0)</f>
        <v>0</v>
      </c>
      <c r="Q122" s="845">
        <f>$H122*_xlfn.XLOOKUP($G122,'Baumaterialien Matériaux'!$A:$A,'Baumaterialien Matériaux'!AH:AH,0,0)</f>
        <v>0</v>
      </c>
      <c r="R122" s="540"/>
      <c r="S122" s="540"/>
      <c r="T122" s="540"/>
      <c r="U122" s="540"/>
      <c r="V122" s="1785">
        <f t="shared" si="22"/>
        <v>0</v>
      </c>
      <c r="W122" s="540"/>
      <c r="X122" s="540"/>
      <c r="Y122" s="540"/>
      <c r="Z122" s="540"/>
      <c r="AA122" s="540"/>
      <c r="AB122" s="540"/>
      <c r="AC122" s="540"/>
      <c r="AD122" s="540"/>
      <c r="AE122" s="540"/>
      <c r="AF122" s="540"/>
      <c r="AG122" s="540"/>
      <c r="AH122" s="540"/>
      <c r="AI122" s="540"/>
      <c r="AJ122" s="540"/>
      <c r="AK122" s="540"/>
      <c r="AL122" s="540"/>
      <c r="AM122" s="540"/>
      <c r="AN122" s="540"/>
      <c r="AO122" s="540"/>
      <c r="AP122" s="540"/>
      <c r="AQ122" s="540"/>
      <c r="AR122" s="540"/>
      <c r="AS122" s="540"/>
      <c r="AT122" s="540"/>
      <c r="AU122" s="540"/>
      <c r="AV122" s="540"/>
      <c r="AW122" s="540"/>
      <c r="AX122" s="540"/>
      <c r="AY122" s="540"/>
      <c r="AZ122" s="540"/>
      <c r="BA122" s="540"/>
      <c r="BB122" s="540"/>
      <c r="BC122" s="540"/>
      <c r="BD122" s="540"/>
      <c r="BE122" s="540"/>
      <c r="BF122" s="540"/>
      <c r="BG122" s="540"/>
      <c r="BH122" s="540"/>
      <c r="BI122" s="540"/>
      <c r="BJ122" s="540"/>
      <c r="BK122" s="540"/>
      <c r="BL122" s="540"/>
      <c r="BM122" s="540"/>
      <c r="BN122" s="540"/>
      <c r="BO122" s="540"/>
      <c r="BP122" s="540"/>
      <c r="BQ122" s="540"/>
      <c r="BR122" s="540"/>
      <c r="BS122" s="540"/>
      <c r="BT122" s="540"/>
      <c r="BU122" s="540"/>
      <c r="BV122" s="540"/>
      <c r="BW122" s="540"/>
      <c r="BX122" s="540"/>
      <c r="BY122" s="540"/>
      <c r="BZ122" s="540"/>
      <c r="CA122" s="540"/>
      <c r="CB122" s="540"/>
      <c r="CC122" s="540"/>
      <c r="CD122" s="540"/>
      <c r="CE122" s="540"/>
      <c r="CF122" s="540"/>
      <c r="CG122" s="540"/>
      <c r="CH122" s="540"/>
    </row>
    <row r="123" spans="1:86" s="540" customFormat="1" ht="15">
      <c r="B123" s="1934"/>
      <c r="C123" s="538" t="s">
        <v>724</v>
      </c>
      <c r="D123" s="538" t="str">
        <f>VLOOKUP(G123,'Baumaterialien Matériaux'!$A$10:$AD$432,30,FALSE)</f>
        <v>Acier d'armature</v>
      </c>
      <c r="E123" s="1785"/>
      <c r="F123" s="538" t="str">
        <f>VLOOKUP(G123,'Baumaterialien Matériaux'!$A$10:$AD$432,7,FALSE)</f>
        <v>kg</v>
      </c>
      <c r="G123" s="546" t="s">
        <v>572</v>
      </c>
      <c r="H123" s="539">
        <f>90*0.25</f>
        <v>22.5</v>
      </c>
      <c r="J123" s="594">
        <v>60</v>
      </c>
      <c r="K123" s="845">
        <f>$H123*_xlfn.XLOOKUP($G123,'Baumaterialien Matériaux'!$A:$A,'Baumaterialien Matériaux'!V:V,0,0)</f>
        <v>76.275000000000006</v>
      </c>
      <c r="L123" s="845">
        <f>$H123*_xlfn.XLOOKUP($G123,'Baumaterialien Matériaux'!$A:$A,'Baumaterialien Matériaux'!Y:Y,0,0)</f>
        <v>1.13625</v>
      </c>
      <c r="M123" s="845">
        <f>$H123*_xlfn.XLOOKUP($G123,'Baumaterialien Matériaux'!$A:$A,'Baumaterialien Matériaux'!AA:AA,0,0)</f>
        <v>17.392500000000002</v>
      </c>
      <c r="N123" s="845">
        <f>$H123*_xlfn.XLOOKUP($G123,'Baumaterialien Matériaux'!$A:$A,'Baumaterialien Matériaux'!AB:AB,0,0)</f>
        <v>0.27450000000000002</v>
      </c>
      <c r="O123" s="845">
        <f>$H123*_xlfn.XLOOKUP($G123,'Baumaterialien Matériaux'!$A:$A,'Baumaterialien Matériaux'!AC:AC,0,0)*44/12</f>
        <v>0</v>
      </c>
      <c r="P123" s="845">
        <f>$H123*_xlfn.XLOOKUP($G123,'Baumaterialien Matériaux'!$A:$A,'Baumaterialien Matériaux'!AG:AG,0,0)</f>
        <v>0</v>
      </c>
      <c r="Q123" s="845">
        <f>$H123*_xlfn.XLOOKUP($G123,'Baumaterialien Matériaux'!$A:$A,'Baumaterialien Matériaux'!AH:AH,0,0)</f>
        <v>0</v>
      </c>
      <c r="V123" s="1785">
        <f t="shared" si="22"/>
        <v>0</v>
      </c>
    </row>
    <row r="124" spans="1:86" s="540" customFormat="1" ht="15">
      <c r="B124" s="1934"/>
      <c r="C124" s="538" t="s">
        <v>615</v>
      </c>
      <c r="D124" s="538" t="str">
        <f>VLOOKUP(G124,'Baumaterialien Matériaux'!$A$10:$AD$432,30,FALSE)</f>
        <v>Bois massif 3 et 5 plis</v>
      </c>
      <c r="E124" s="1785"/>
      <c r="F124" s="538" t="str">
        <f>VLOOKUP(G124,'Baumaterialien Matériaux'!$A$10:$AD$432,7,FALSE)</f>
        <v>kg</v>
      </c>
      <c r="G124" s="546" t="s">
        <v>590</v>
      </c>
      <c r="H124" s="539">
        <f>2/5*0.025*470</f>
        <v>4.7000000000000011</v>
      </c>
      <c r="J124" s="594">
        <v>60</v>
      </c>
      <c r="K124" s="845">
        <f>$H124*_xlfn.XLOOKUP($G124,'Baumaterialien Matériaux'!$A:$A,'Baumaterialien Matériaux'!V:V,0,0)</f>
        <v>9.8230000000000022</v>
      </c>
      <c r="L124" s="845">
        <f>$H124*_xlfn.XLOOKUP($G124,'Baumaterialien Matériaux'!$A:$A,'Baumaterialien Matériaux'!Y:Y,0,0)</f>
        <v>0.43381000000000008</v>
      </c>
      <c r="M124" s="845">
        <f>$H124*_xlfn.XLOOKUP($G124,'Baumaterialien Matériaux'!$A:$A,'Baumaterialien Matériaux'!AA:AA,0,0)</f>
        <v>1.9458000000000004</v>
      </c>
      <c r="N124" s="845">
        <f>$H124*_xlfn.XLOOKUP($G124,'Baumaterialien Matériaux'!$A:$A,'Baumaterialien Matériaux'!AB:AB,0,0)</f>
        <v>0.25991000000000009</v>
      </c>
      <c r="O124" s="845">
        <f>$H124*_xlfn.XLOOKUP($G124,'Baumaterialien Matériaux'!$A:$A,'Baumaterialien Matériaux'!AC:AC,0,0)*44/12</f>
        <v>7.4620333333333342</v>
      </c>
      <c r="P124" s="845">
        <f>$H124*_xlfn.XLOOKUP($G124,'Baumaterialien Matériaux'!$A:$A,'Baumaterialien Matériaux'!AG:AG,0,0)</f>
        <v>0</v>
      </c>
      <c r="Q124" s="845">
        <f>$H124*_xlfn.XLOOKUP($G124,'Baumaterialien Matériaux'!$A:$A,'Baumaterialien Matériaux'!AH:AH,0,0)</f>
        <v>0</v>
      </c>
      <c r="V124" s="1785">
        <f t="shared" si="22"/>
        <v>0</v>
      </c>
    </row>
    <row r="125" spans="1:86" s="577" customFormat="1" ht="15.75" thickBot="1">
      <c r="B125" s="578"/>
      <c r="G125" s="579"/>
      <c r="J125" s="589"/>
      <c r="K125" s="581">
        <f t="shared" ref="K125:L125" si="38">SUM(K122:K124)</f>
        <v>156.01214012738856</v>
      </c>
      <c r="L125" s="581">
        <f t="shared" si="38"/>
        <v>30.729372101910826</v>
      </c>
      <c r="M125" s="581">
        <f t="shared" ref="M125:O125" si="39">SUM(M122:M124)</f>
        <v>69.756057961783441</v>
      </c>
      <c r="N125" s="581">
        <f t="shared" si="39"/>
        <v>7.696346305732483</v>
      </c>
      <c r="O125" s="581">
        <f t="shared" si="39"/>
        <v>7.4620333333333342</v>
      </c>
      <c r="P125" s="581">
        <f t="shared" ref="P125:Q125" si="40">SUM(P122:P124)</f>
        <v>0</v>
      </c>
      <c r="Q125" s="581">
        <f t="shared" si="40"/>
        <v>0</v>
      </c>
      <c r="R125" s="540"/>
      <c r="S125" s="540">
        <f>(M125+N125)/J124</f>
        <v>1.2908734044585988</v>
      </c>
      <c r="T125" s="540">
        <v>1.45</v>
      </c>
      <c r="U125" s="540"/>
      <c r="V125" s="1785">
        <f t="shared" si="22"/>
        <v>0</v>
      </c>
      <c r="W125" s="540"/>
      <c r="X125" s="540"/>
      <c r="Y125" s="540"/>
      <c r="Z125" s="540"/>
      <c r="AA125" s="540"/>
      <c r="AB125" s="540"/>
      <c r="AC125" s="540"/>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0"/>
      <c r="AY125" s="540"/>
      <c r="AZ125" s="540"/>
      <c r="BA125" s="540"/>
      <c r="BB125" s="540"/>
      <c r="BC125" s="540"/>
      <c r="BD125" s="540"/>
      <c r="BE125" s="540"/>
      <c r="BF125" s="540"/>
      <c r="BG125" s="540"/>
      <c r="BH125" s="540"/>
      <c r="BI125" s="540"/>
      <c r="BJ125" s="540"/>
      <c r="BK125" s="540"/>
      <c r="BL125" s="540"/>
      <c r="BM125" s="540"/>
      <c r="BN125" s="540"/>
      <c r="BO125" s="540"/>
      <c r="BP125" s="540"/>
      <c r="BQ125" s="540"/>
      <c r="BR125" s="540"/>
      <c r="BS125" s="540"/>
      <c r="BT125" s="540"/>
      <c r="BU125" s="540"/>
      <c r="BV125" s="540"/>
      <c r="BW125" s="540"/>
      <c r="BX125" s="540"/>
      <c r="BY125" s="540"/>
      <c r="BZ125" s="540"/>
      <c r="CA125" s="540"/>
      <c r="CB125" s="540"/>
      <c r="CC125" s="540"/>
      <c r="CD125" s="540"/>
      <c r="CE125" s="540"/>
      <c r="CF125" s="540"/>
      <c r="CG125" s="540"/>
      <c r="CH125" s="540"/>
    </row>
    <row r="126" spans="1:86" s="159" customFormat="1" ht="15.75" thickTop="1">
      <c r="G126" s="604"/>
      <c r="J126" s="606"/>
      <c r="K126" s="851"/>
      <c r="L126" s="851"/>
      <c r="M126" s="851"/>
      <c r="N126" s="851"/>
      <c r="O126" s="851"/>
      <c r="P126" s="851"/>
      <c r="Q126" s="851"/>
      <c r="V126" s="1785">
        <f t="shared" si="22"/>
        <v>0</v>
      </c>
    </row>
    <row r="127" spans="1:86" s="557" customFormat="1">
      <c r="A127" s="1093" t="s">
        <v>725</v>
      </c>
      <c r="B127" s="1934" t="s">
        <v>726</v>
      </c>
      <c r="C127" s="538" t="s">
        <v>727</v>
      </c>
      <c r="D127" s="538" t="str">
        <f>VLOOKUP(G127,'Baumaterialien Matériaux'!$A$10:$AD$432,30,FALSE)</f>
        <v>Bois massif 3 et 5 plis</v>
      </c>
      <c r="E127" s="1785"/>
      <c r="F127" s="538" t="str">
        <f>VLOOKUP(G127,'Baumaterialien Matériaux'!$A$10:$AD$432,7,FALSE)</f>
        <v>kg</v>
      </c>
      <c r="G127" s="561" t="s">
        <v>590</v>
      </c>
      <c r="H127" s="539">
        <f>0.02*470</f>
        <v>9.4</v>
      </c>
      <c r="I127" s="538"/>
      <c r="J127" s="538">
        <v>60</v>
      </c>
      <c r="K127" s="539">
        <f>$H127*_xlfn.XLOOKUP($G127,'Baumaterialien Matériaux'!$A:$A,'Baumaterialien Matériaux'!V:V,0,0)</f>
        <v>19.646000000000001</v>
      </c>
      <c r="L127" s="539">
        <f>$H127*_xlfn.XLOOKUP($G127,'Baumaterialien Matériaux'!$A:$A,'Baumaterialien Matériaux'!Y:Y,0,0)</f>
        <v>0.86761999999999995</v>
      </c>
      <c r="M127" s="539">
        <f>$H127*_xlfn.XLOOKUP($G127,'Baumaterialien Matériaux'!$A:$A,'Baumaterialien Matériaux'!AA:AA,0,0)</f>
        <v>3.8915999999999999</v>
      </c>
      <c r="N127" s="539">
        <f>$H127*_xlfn.XLOOKUP($G127,'Baumaterialien Matériaux'!$A:$A,'Baumaterialien Matériaux'!AB:AB,0,0)</f>
        <v>0.51982000000000006</v>
      </c>
      <c r="O127" s="539">
        <f>$H127*_xlfn.XLOOKUP($G127,'Baumaterialien Matériaux'!$A:$A,'Baumaterialien Matériaux'!AC:AC,0,0)*44/12</f>
        <v>14.924066666666667</v>
      </c>
      <c r="P127" s="539">
        <f>$H127*_xlfn.XLOOKUP($G127,'Baumaterialien Matériaux'!$A:$A,'Baumaterialien Matériaux'!AG:AG,0,0)</f>
        <v>0</v>
      </c>
      <c r="Q127" s="539">
        <f>$H127*_xlfn.XLOOKUP($G127,'Baumaterialien Matériaux'!$A:$A,'Baumaterialien Matériaux'!AH:AH,0,0)</f>
        <v>0</v>
      </c>
      <c r="R127" s="540"/>
      <c r="S127" s="540"/>
      <c r="T127" s="540"/>
      <c r="U127" s="540"/>
      <c r="V127" s="1785">
        <f t="shared" si="22"/>
        <v>0</v>
      </c>
      <c r="W127" s="540"/>
      <c r="X127" s="540"/>
      <c r="Y127" s="540"/>
      <c r="Z127" s="540"/>
      <c r="AA127" s="540"/>
      <c r="AB127" s="540"/>
      <c r="AC127" s="540"/>
      <c r="AD127" s="540"/>
      <c r="AE127" s="540"/>
      <c r="AF127" s="540"/>
      <c r="AG127" s="540"/>
      <c r="AH127" s="540"/>
      <c r="AI127" s="540"/>
      <c r="AJ127" s="540"/>
      <c r="AK127" s="540"/>
      <c r="AL127" s="540"/>
      <c r="AM127" s="540"/>
      <c r="AN127" s="540"/>
      <c r="AO127" s="540"/>
      <c r="AP127" s="540"/>
      <c r="AQ127" s="540"/>
      <c r="AR127" s="540"/>
      <c r="AS127" s="540"/>
      <c r="AT127" s="540"/>
      <c r="AU127" s="540"/>
      <c r="AV127" s="540"/>
      <c r="AW127" s="540"/>
      <c r="AX127" s="540"/>
      <c r="AY127" s="540"/>
      <c r="AZ127" s="540"/>
      <c r="BA127" s="540"/>
      <c r="BB127" s="540"/>
      <c r="BC127" s="540"/>
      <c r="BD127" s="540"/>
      <c r="BE127" s="540"/>
      <c r="BF127" s="540"/>
      <c r="BG127" s="540"/>
      <c r="BH127" s="540"/>
      <c r="BI127" s="540"/>
      <c r="BJ127" s="540"/>
      <c r="BK127" s="540"/>
      <c r="BL127" s="540"/>
      <c r="BM127" s="540"/>
      <c r="BN127" s="540"/>
      <c r="BO127" s="540"/>
      <c r="BP127" s="540"/>
      <c r="BQ127" s="540"/>
      <c r="BR127" s="540"/>
      <c r="BS127" s="540"/>
      <c r="BT127" s="540"/>
      <c r="BU127" s="540"/>
      <c r="BV127" s="540"/>
      <c r="BW127" s="540"/>
      <c r="BX127" s="540"/>
      <c r="BY127" s="540"/>
      <c r="BZ127" s="540"/>
      <c r="CA127" s="540"/>
      <c r="CB127" s="540"/>
      <c r="CC127" s="540"/>
      <c r="CD127" s="540"/>
      <c r="CE127" s="540"/>
      <c r="CF127" s="540"/>
      <c r="CG127" s="540"/>
      <c r="CH127" s="540"/>
    </row>
    <row r="128" spans="1:86" s="540" customFormat="1">
      <c r="A128" s="585"/>
      <c r="B128" s="1934"/>
      <c r="C128" s="538" t="s">
        <v>618</v>
      </c>
      <c r="D128" s="538" t="str">
        <f>VLOOKUP(G128,'Baumaterialien Matériaux'!$A$10:$AD$432,30,FALSE)</f>
        <v>Bois massif épicéa / sapin / mélèze, séché en cellule, raboté</v>
      </c>
      <c r="E128" s="1785"/>
      <c r="F128" s="538" t="str">
        <f>VLOOKUP(G128,'Baumaterialien Matériaux'!$A$10:$AD$432,7,FALSE)</f>
        <v>kg</v>
      </c>
      <c r="G128" s="546" t="s">
        <v>651</v>
      </c>
      <c r="H128" s="539">
        <f>0.23*465</f>
        <v>106.95</v>
      </c>
      <c r="I128" s="538"/>
      <c r="J128" s="538">
        <v>60</v>
      </c>
      <c r="K128" s="539">
        <f>$H128*_xlfn.XLOOKUP($G128,'Baumaterialien Matériaux'!$A:$A,'Baumaterialien Matériaux'!V:V,0,0)</f>
        <v>73.581599999999995</v>
      </c>
      <c r="L128" s="539">
        <f>$H128*_xlfn.XLOOKUP($G128,'Baumaterialien Matériaux'!$A:$A,'Baumaterialien Matériaux'!Y:Y,0,0)</f>
        <v>9.4971600000000009</v>
      </c>
      <c r="M128" s="539">
        <f>$H128*_xlfn.XLOOKUP($G128,'Baumaterialien Matériaux'!$A:$A,'Baumaterialien Matériaux'!AA:AA,0,0)</f>
        <v>14.331300000000001</v>
      </c>
      <c r="N128" s="539">
        <f>$H128*_xlfn.XLOOKUP($G128,'Baumaterialien Matériaux'!$A:$A,'Baumaterialien Matériaux'!AB:AB,0,0)</f>
        <v>4.1710500000000001</v>
      </c>
      <c r="O128" s="539">
        <f>$H128*_xlfn.XLOOKUP($G128,'Baumaterialien Matériaux'!$A:$A,'Baumaterialien Matériaux'!AC:AC,0,0)*44/12</f>
        <v>176.85965000000002</v>
      </c>
      <c r="P128" s="539">
        <f>$H128*_xlfn.XLOOKUP($G128,'Baumaterialien Matériaux'!$A:$A,'Baumaterialien Matériaux'!AG:AG,0,0)</f>
        <v>0</v>
      </c>
      <c r="Q128" s="539">
        <f>$H128*_xlfn.XLOOKUP($G128,'Baumaterialien Matériaux'!$A:$A,'Baumaterialien Matériaux'!AH:AH,0,0)</f>
        <v>0</v>
      </c>
      <c r="V128" s="1785">
        <f t="shared" si="22"/>
        <v>0</v>
      </c>
    </row>
    <row r="129" spans="1:86" s="577" customFormat="1" ht="15.75" thickBot="1">
      <c r="A129" s="587"/>
      <c r="B129" s="578"/>
      <c r="G129" s="579"/>
      <c r="J129" s="589"/>
      <c r="K129" s="581">
        <f t="shared" ref="K129:L129" si="41">SUM(K127:K128)</f>
        <v>93.227599999999995</v>
      </c>
      <c r="L129" s="581">
        <f t="shared" si="41"/>
        <v>10.364780000000001</v>
      </c>
      <c r="M129" s="581">
        <f t="shared" ref="M129:O129" si="42">SUM(M127:M128)</f>
        <v>18.222899999999999</v>
      </c>
      <c r="N129" s="581">
        <f t="shared" si="42"/>
        <v>4.6908700000000003</v>
      </c>
      <c r="O129" s="581">
        <f t="shared" si="42"/>
        <v>191.78371666666669</v>
      </c>
      <c r="P129" s="581">
        <f t="shared" ref="P129:Q129" si="43">SUM(P127:P128)</f>
        <v>0</v>
      </c>
      <c r="Q129" s="581">
        <f t="shared" si="43"/>
        <v>0</v>
      </c>
      <c r="R129" s="540"/>
      <c r="S129" s="540">
        <f>(M129+N129)/J128</f>
        <v>0.38189616666666665</v>
      </c>
      <c r="T129" s="540">
        <v>0.52</v>
      </c>
      <c r="U129" s="540"/>
      <c r="V129" s="1785">
        <f t="shared" si="22"/>
        <v>0</v>
      </c>
      <c r="W129" s="540"/>
      <c r="X129" s="540"/>
      <c r="Y129" s="540"/>
      <c r="Z129" s="540"/>
      <c r="AA129" s="540"/>
      <c r="AB129" s="540"/>
      <c r="AC129" s="540"/>
      <c r="AD129" s="54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0"/>
      <c r="AY129" s="540"/>
      <c r="AZ129" s="540"/>
      <c r="BA129" s="540"/>
      <c r="BB129" s="540"/>
      <c r="BC129" s="540"/>
      <c r="BD129" s="540"/>
      <c r="BE129" s="540"/>
      <c r="BF129" s="540"/>
      <c r="BG129" s="540"/>
      <c r="BH129" s="540"/>
      <c r="BI129" s="540"/>
      <c r="BJ129" s="540"/>
      <c r="BK129" s="540"/>
      <c r="BL129" s="540"/>
      <c r="BM129" s="540"/>
      <c r="BN129" s="540"/>
      <c r="BO129" s="540"/>
      <c r="BP129" s="540"/>
      <c r="BQ129" s="540"/>
      <c r="BR129" s="540"/>
      <c r="BS129" s="540"/>
      <c r="BT129" s="540"/>
      <c r="BU129" s="540"/>
      <c r="BV129" s="540"/>
      <c r="BW129" s="540"/>
      <c r="BX129" s="540"/>
      <c r="BY129" s="540"/>
      <c r="BZ129" s="540"/>
      <c r="CA129" s="540"/>
      <c r="CB129" s="540"/>
      <c r="CC129" s="540"/>
      <c r="CD129" s="540"/>
      <c r="CE129" s="540"/>
      <c r="CF129" s="540"/>
      <c r="CG129" s="540"/>
      <c r="CH129" s="540"/>
    </row>
    <row r="130" spans="1:86" s="159" customFormat="1" ht="15.75" thickTop="1">
      <c r="G130" s="604"/>
      <c r="J130" s="606"/>
      <c r="K130" s="851"/>
      <c r="L130" s="851"/>
      <c r="M130" s="851"/>
      <c r="N130" s="851"/>
      <c r="O130" s="851"/>
      <c r="P130" s="851"/>
      <c r="Q130" s="851"/>
      <c r="V130" s="1785">
        <f t="shared" si="22"/>
        <v>0</v>
      </c>
    </row>
    <row r="131" spans="1:86">
      <c r="K131" s="126"/>
      <c r="L131" s="126"/>
      <c r="M131" s="126"/>
      <c r="N131" s="126"/>
      <c r="O131" s="126"/>
      <c r="P131" s="126"/>
      <c r="Q131" s="126"/>
      <c r="V131" s="1785">
        <f t="shared" si="22"/>
        <v>0</v>
      </c>
    </row>
    <row r="132" spans="1:86" s="149" customFormat="1" ht="14.25" customHeight="1">
      <c r="A132" s="591" t="s">
        <v>728</v>
      </c>
      <c r="B132" s="1942" t="s">
        <v>729</v>
      </c>
      <c r="C132" s="166" t="s">
        <v>730</v>
      </c>
      <c r="D132" s="166" t="str">
        <f>VLOOKUP(G132,'Baumaterialien Matériaux'!$A$10:$AD$432,30,FALSE)</f>
        <v>Béton pour bâtiment (sans armature)</v>
      </c>
      <c r="E132" s="1403"/>
      <c r="F132" s="166" t="str">
        <f>VLOOKUP(G132,'Baumaterialien Matériaux'!$A$10:$AD$432,7,FALSE)</f>
        <v>kg</v>
      </c>
      <c r="G132" s="518" t="s">
        <v>570</v>
      </c>
      <c r="H132" s="167">
        <f>(0.4-H133/7850)*2300</f>
        <v>902.71337579617841</v>
      </c>
      <c r="I132" s="1095"/>
      <c r="J132" s="516">
        <v>60</v>
      </c>
      <c r="K132" s="846">
        <f>$H132*_xlfn.XLOOKUP($G132,'Baumaterialien Matériaux'!$A:$A,'Baumaterialien Matériaux'!V:V,0,0)</f>
        <v>111.03374522292994</v>
      </c>
      <c r="L132" s="846">
        <f>$H132*_xlfn.XLOOKUP($G132,'Baumaterialien Matériaux'!$A:$A,'Baumaterialien Matériaux'!Y:Y,0,0)</f>
        <v>46.309196178343953</v>
      </c>
      <c r="M132" s="846">
        <f>$H132*_xlfn.XLOOKUP($G132,'Baumaterialien Matériaux'!$A:$A,'Baumaterialien Matériaux'!AA:AA,0,0)</f>
        <v>80.070676433121022</v>
      </c>
      <c r="N132" s="846">
        <f>$H132*_xlfn.XLOOKUP($G132,'Baumaterialien Matériaux'!$A:$A,'Baumaterialien Matériaux'!AB:AB,0,0)</f>
        <v>11.374188535031848</v>
      </c>
      <c r="O132" s="846">
        <f>$H132*_xlfn.XLOOKUP($G132,'Baumaterialien Matériaux'!$A:$A,'Baumaterialien Matériaux'!AC:AC,0,0)*44/12</f>
        <v>0</v>
      </c>
      <c r="P132" s="846">
        <f>$H132*_xlfn.XLOOKUP($G132,'Baumaterialien Matériaux'!$A:$A,'Baumaterialien Matériaux'!AG:AG,0,0)</f>
        <v>0</v>
      </c>
      <c r="Q132" s="846">
        <f>$H132*_xlfn.XLOOKUP($G132,'Baumaterialien Matériaux'!$A:$A,'Baumaterialien Matériaux'!AH:AH,0,0)</f>
        <v>0</v>
      </c>
      <c r="R132" s="3"/>
      <c r="S132" s="3"/>
      <c r="T132" s="3"/>
      <c r="U132" s="3"/>
      <c r="V132" s="1785">
        <f t="shared" si="22"/>
        <v>0</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row>
    <row r="133" spans="1:86" ht="14.25" customHeight="1">
      <c r="A133" s="159"/>
      <c r="B133" s="1942"/>
      <c r="C133" s="166" t="s">
        <v>731</v>
      </c>
      <c r="D133" s="166" t="str">
        <f>VLOOKUP(G133,'Baumaterialien Matériaux'!$A$10:$AD$432,30,FALSE)</f>
        <v>Acier d'armature</v>
      </c>
      <c r="E133" s="1403"/>
      <c r="F133" s="166" t="str">
        <f>VLOOKUP(G133,'Baumaterialien Matériaux'!$A$10:$AD$432,7,FALSE)</f>
        <v>kg</v>
      </c>
      <c r="G133" s="279" t="s">
        <v>572</v>
      </c>
      <c r="H133" s="167">
        <f>147.5*0.4</f>
        <v>59</v>
      </c>
      <c r="J133" s="516">
        <v>60</v>
      </c>
      <c r="K133" s="846">
        <f>$H133*_xlfn.XLOOKUP($G133,'Baumaterialien Matériaux'!$A:$A,'Baumaterialien Matériaux'!V:V,0,0)</f>
        <v>200.01000000000002</v>
      </c>
      <c r="L133" s="846">
        <f>$H133*_xlfn.XLOOKUP($G133,'Baumaterialien Matériaux'!$A:$A,'Baumaterialien Matériaux'!Y:Y,0,0)</f>
        <v>2.9795000000000003</v>
      </c>
      <c r="M133" s="846">
        <f>$H133*_xlfn.XLOOKUP($G133,'Baumaterialien Matériaux'!$A:$A,'Baumaterialien Matériaux'!AA:AA,0,0)</f>
        <v>45.606999999999999</v>
      </c>
      <c r="N133" s="846">
        <f>$H133*_xlfn.XLOOKUP($G133,'Baumaterialien Matériaux'!$A:$A,'Baumaterialien Matériaux'!AB:AB,0,0)</f>
        <v>0.7198</v>
      </c>
      <c r="O133" s="846">
        <f>$H133*_xlfn.XLOOKUP($G133,'Baumaterialien Matériaux'!$A:$A,'Baumaterialien Matériaux'!AC:AC,0,0)*44/12</f>
        <v>0</v>
      </c>
      <c r="P133" s="846">
        <f>$H133*_xlfn.XLOOKUP($G133,'Baumaterialien Matériaux'!$A:$A,'Baumaterialien Matériaux'!AG:AG,0,0)</f>
        <v>0</v>
      </c>
      <c r="Q133" s="846">
        <f>$H133*_xlfn.XLOOKUP($G133,'Baumaterialien Matériaux'!$A:$A,'Baumaterialien Matériaux'!AH:AH,0,0)</f>
        <v>0</v>
      </c>
      <c r="V133" s="1785">
        <f t="shared" ref="V133:V196" si="44">IFERROR(E133/U133,0)</f>
        <v>0</v>
      </c>
    </row>
    <row r="134" spans="1:86" ht="14.25" customHeight="1">
      <c r="A134" s="159"/>
      <c r="B134" s="1942"/>
      <c r="C134" s="166" t="s">
        <v>732</v>
      </c>
      <c r="D134" s="166" t="str">
        <f>VLOOKUP(G134,'Baumaterialien Matériaux'!$A$10:$AD$432,30,FALSE)</f>
        <v>Bois massif 3 et 5 plis</v>
      </c>
      <c r="E134" s="1403"/>
      <c r="F134" s="166" t="str">
        <f>VLOOKUP(G134,'Baumaterialien Matériaux'!$A$10:$AD$432,7,FALSE)</f>
        <v>kg</v>
      </c>
      <c r="G134" s="279" t="s">
        <v>590</v>
      </c>
      <c r="H134" s="167">
        <f>2/5*0.025*470</f>
        <v>4.7000000000000011</v>
      </c>
      <c r="J134" s="516">
        <v>60</v>
      </c>
      <c r="K134" s="846">
        <f>$H134*_xlfn.XLOOKUP($G134,'Baumaterialien Matériaux'!$A:$A,'Baumaterialien Matériaux'!V:V,0,0)</f>
        <v>9.8230000000000022</v>
      </c>
      <c r="L134" s="846">
        <f>$H134*_xlfn.XLOOKUP($G134,'Baumaterialien Matériaux'!$A:$A,'Baumaterialien Matériaux'!Y:Y,0,0)</f>
        <v>0.43381000000000008</v>
      </c>
      <c r="M134" s="846">
        <f>$H134*_xlfn.XLOOKUP($G134,'Baumaterialien Matériaux'!$A:$A,'Baumaterialien Matériaux'!AA:AA,0,0)</f>
        <v>1.9458000000000004</v>
      </c>
      <c r="N134" s="846">
        <f>$H134*_xlfn.XLOOKUP($G134,'Baumaterialien Matériaux'!$A:$A,'Baumaterialien Matériaux'!AB:AB,0,0)</f>
        <v>0.25991000000000009</v>
      </c>
      <c r="O134" s="846">
        <f>$H134*_xlfn.XLOOKUP($G134,'Baumaterialien Matériaux'!$A:$A,'Baumaterialien Matériaux'!AC:AC,0,0)*44/12</f>
        <v>7.4620333333333342</v>
      </c>
      <c r="P134" s="846">
        <f>$H134*_xlfn.XLOOKUP($G134,'Baumaterialien Matériaux'!$A:$A,'Baumaterialien Matériaux'!AG:AG,0,0)</f>
        <v>0</v>
      </c>
      <c r="Q134" s="846">
        <f>$H134*_xlfn.XLOOKUP($G134,'Baumaterialien Matériaux'!$A:$A,'Baumaterialien Matériaux'!AH:AH,0,0)</f>
        <v>0</v>
      </c>
      <c r="V134" s="1785">
        <f t="shared" si="44"/>
        <v>0</v>
      </c>
    </row>
    <row r="135" spans="1:86" s="572" customFormat="1" ht="15.75" thickBot="1">
      <c r="A135" s="590"/>
      <c r="B135" s="576"/>
      <c r="G135" s="573"/>
      <c r="J135" s="586"/>
      <c r="K135" s="574">
        <f t="shared" ref="K135:L135" si="45">SUM(K132:K134)</f>
        <v>320.86674522292992</v>
      </c>
      <c r="L135" s="574">
        <f t="shared" si="45"/>
        <v>49.722506178343956</v>
      </c>
      <c r="M135" s="574">
        <f t="shared" ref="M135:O135" si="46">SUM(M132:M134)</f>
        <v>127.62347643312103</v>
      </c>
      <c r="N135" s="574">
        <f t="shared" si="46"/>
        <v>12.353898535031847</v>
      </c>
      <c r="O135" s="574">
        <f t="shared" si="46"/>
        <v>7.4620333333333342</v>
      </c>
      <c r="P135" s="574">
        <f t="shared" ref="P135:Q135" si="47">SUM(P132:P134)</f>
        <v>0</v>
      </c>
      <c r="Q135" s="574">
        <f t="shared" si="47"/>
        <v>0</v>
      </c>
      <c r="R135" s="3"/>
      <c r="S135" s="540">
        <f>(M135+N135)/J134</f>
        <v>2.3329562494692144</v>
      </c>
      <c r="T135" s="3">
        <v>2.42</v>
      </c>
      <c r="U135" s="3"/>
      <c r="V135" s="1785">
        <f t="shared" si="44"/>
        <v>0</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row>
    <row r="136" spans="1:86" ht="15" thickTop="1">
      <c r="K136" s="126"/>
      <c r="L136" s="126"/>
      <c r="M136" s="126"/>
      <c r="N136" s="126"/>
      <c r="O136" s="126"/>
      <c r="P136" s="126"/>
      <c r="Q136" s="126"/>
      <c r="V136" s="1785">
        <f t="shared" si="44"/>
        <v>0</v>
      </c>
    </row>
    <row r="137" spans="1:86" ht="13.9" customHeight="1">
      <c r="A137" s="1092" t="s">
        <v>733</v>
      </c>
      <c r="B137" s="1078"/>
      <c r="C137" s="166" t="s">
        <v>727</v>
      </c>
      <c r="D137" s="166" t="str">
        <f>VLOOKUP(G137,'Baumaterialien Matériaux'!$A$10:$AD$432,30,FALSE)</f>
        <v>Bois massif 3 et 5 plis</v>
      </c>
      <c r="E137" s="1403"/>
      <c r="F137" s="166" t="str">
        <f>VLOOKUP(G137,'Baumaterialien Matériaux'!$A$10:$AD$432,7,FALSE)</f>
        <v>kg</v>
      </c>
      <c r="G137" s="519" t="s">
        <v>590</v>
      </c>
      <c r="H137" s="167">
        <f>0.02*470</f>
        <v>9.4</v>
      </c>
      <c r="I137" s="167"/>
      <c r="J137" s="516">
        <v>60</v>
      </c>
      <c r="K137" s="846">
        <f>$H137*_xlfn.XLOOKUP($G137,'Baumaterialien Matériaux'!$A:$A,'Baumaterialien Matériaux'!V:V,0,0)</f>
        <v>19.646000000000001</v>
      </c>
      <c r="L137" s="846">
        <f>$H137*_xlfn.XLOOKUP($G137,'Baumaterialien Matériaux'!$A:$A,'Baumaterialien Matériaux'!Y:Y,0,0)</f>
        <v>0.86761999999999995</v>
      </c>
      <c r="M137" s="846">
        <f>$H137*_xlfn.XLOOKUP($G137,'Baumaterialien Matériaux'!$A:$A,'Baumaterialien Matériaux'!AA:AA,0,0)</f>
        <v>3.8915999999999999</v>
      </c>
      <c r="N137" s="846">
        <f>$H137*_xlfn.XLOOKUP($G137,'Baumaterialien Matériaux'!$A:$A,'Baumaterialien Matériaux'!AB:AB,0,0)</f>
        <v>0.51982000000000006</v>
      </c>
      <c r="O137" s="846">
        <f>$H137*_xlfn.XLOOKUP($G137,'Baumaterialien Matériaux'!$A:$A,'Baumaterialien Matériaux'!AC:AC,0,0)*44/12</f>
        <v>14.924066666666667</v>
      </c>
      <c r="P137" s="846">
        <f>$H137*_xlfn.XLOOKUP($G137,'Baumaterialien Matériaux'!$A:$A,'Baumaterialien Matériaux'!AG:AG,0,0)</f>
        <v>0</v>
      </c>
      <c r="Q137" s="846">
        <f>$H137*_xlfn.XLOOKUP($G137,'Baumaterialien Matériaux'!$A:$A,'Baumaterialien Matériaux'!AH:AH,0,0)</f>
        <v>0</v>
      </c>
      <c r="V137" s="1785">
        <f t="shared" si="44"/>
        <v>0</v>
      </c>
    </row>
    <row r="138" spans="1:86" ht="15">
      <c r="A138" s="585"/>
      <c r="B138" s="1084"/>
      <c r="C138" s="166" t="s">
        <v>618</v>
      </c>
      <c r="D138" s="166" t="str">
        <f>VLOOKUP(G138,'Baumaterialien Matériaux'!$A$10:$AD$432,30,FALSE)</f>
        <v>Bois massif épicéa / sapin / mélèze, séché en cellule, raboté</v>
      </c>
      <c r="E138" s="1403"/>
      <c r="F138" s="166" t="str">
        <f>VLOOKUP(G138,'Baumaterialien Matériaux'!$A$10:$AD$432,7,FALSE)</f>
        <v>kg</v>
      </c>
      <c r="G138" s="166" t="s">
        <v>651</v>
      </c>
      <c r="H138" s="167">
        <f>0.23*465</f>
        <v>106.95</v>
      </c>
      <c r="I138" s="167"/>
      <c r="J138" s="516">
        <v>60</v>
      </c>
      <c r="K138" s="846">
        <f>$H138*_xlfn.XLOOKUP($G138,'Baumaterialien Matériaux'!$A:$A,'Baumaterialien Matériaux'!V:V,0,0)</f>
        <v>73.581599999999995</v>
      </c>
      <c r="L138" s="846">
        <f>$H138*_xlfn.XLOOKUP($G138,'Baumaterialien Matériaux'!$A:$A,'Baumaterialien Matériaux'!Y:Y,0,0)</f>
        <v>9.4971600000000009</v>
      </c>
      <c r="M138" s="846">
        <f>$H138*_xlfn.XLOOKUP($G138,'Baumaterialien Matériaux'!$A:$A,'Baumaterialien Matériaux'!AA:AA,0,0)</f>
        <v>14.331300000000001</v>
      </c>
      <c r="N138" s="846">
        <f>$H138*_xlfn.XLOOKUP($G138,'Baumaterialien Matériaux'!$A:$A,'Baumaterialien Matériaux'!AB:AB,0,0)</f>
        <v>4.1710500000000001</v>
      </c>
      <c r="O138" s="846">
        <f>$H138*_xlfn.XLOOKUP($G138,'Baumaterialien Matériaux'!$A:$A,'Baumaterialien Matériaux'!AC:AC,0,0)*44/12</f>
        <v>176.85965000000002</v>
      </c>
      <c r="P138" s="846">
        <f>$H138*_xlfn.XLOOKUP($G138,'Baumaterialien Matériaux'!$A:$A,'Baumaterialien Matériaux'!AG:AG,0,0)</f>
        <v>0</v>
      </c>
      <c r="Q138" s="846">
        <f>$H138*_xlfn.XLOOKUP($G138,'Baumaterialien Matériaux'!$A:$A,'Baumaterialien Matériaux'!AH:AH,0,0)</f>
        <v>0</v>
      </c>
      <c r="V138" s="1785">
        <f t="shared" si="44"/>
        <v>0</v>
      </c>
    </row>
    <row r="139" spans="1:86" ht="13.9" customHeight="1">
      <c r="A139" s="585"/>
      <c r="B139" s="961"/>
      <c r="C139" s="137"/>
      <c r="D139" s="166"/>
      <c r="E139" s="1403"/>
      <c r="F139" s="167"/>
      <c r="G139" s="166"/>
      <c r="H139" s="167"/>
      <c r="I139" s="167"/>
      <c r="J139" s="167">
        <v>60</v>
      </c>
      <c r="K139" s="126">
        <f t="shared" ref="K139:L139" si="48">SUM(K137:K138)</f>
        <v>93.227599999999995</v>
      </c>
      <c r="L139" s="126">
        <f t="shared" si="48"/>
        <v>10.364780000000001</v>
      </c>
      <c r="M139" s="126">
        <f>SUM(M137:M138)</f>
        <v>18.222899999999999</v>
      </c>
      <c r="N139" s="126">
        <f t="shared" ref="N139:Q139" si="49">SUM(N137:N138)</f>
        <v>4.6908700000000003</v>
      </c>
      <c r="O139" s="126">
        <f t="shared" si="49"/>
        <v>191.78371666666669</v>
      </c>
      <c r="P139" s="126">
        <f t="shared" si="49"/>
        <v>0</v>
      </c>
      <c r="Q139" s="126">
        <f t="shared" si="49"/>
        <v>0</v>
      </c>
      <c r="S139" s="540">
        <f>(M139+N139)/J138</f>
        <v>0.38189616666666665</v>
      </c>
      <c r="T139" s="3">
        <v>0.56999999999999995</v>
      </c>
      <c r="V139" s="1785">
        <f t="shared" si="44"/>
        <v>0</v>
      </c>
    </row>
    <row r="140" spans="1:86">
      <c r="K140" s="3"/>
      <c r="L140" s="3"/>
      <c r="V140" s="1785">
        <f t="shared" si="44"/>
        <v>0</v>
      </c>
    </row>
    <row r="141" spans="1:86">
      <c r="K141" s="3"/>
      <c r="L141" s="3"/>
      <c r="V141" s="1785">
        <f t="shared" si="44"/>
        <v>0</v>
      </c>
    </row>
    <row r="142" spans="1:86">
      <c r="K142" s="126"/>
      <c r="L142" s="126"/>
      <c r="M142" s="126"/>
      <c r="N142" s="126"/>
      <c r="O142" s="126"/>
      <c r="P142" s="126"/>
      <c r="Q142" s="126"/>
      <c r="V142" s="1785">
        <f t="shared" si="44"/>
        <v>0</v>
      </c>
    </row>
    <row r="143" spans="1:86" s="149" customFormat="1">
      <c r="A143" s="1092" t="s">
        <v>734</v>
      </c>
      <c r="B143" s="165" t="s">
        <v>735</v>
      </c>
      <c r="C143" s="166" t="s">
        <v>618</v>
      </c>
      <c r="D143" s="166" t="str">
        <f>VLOOKUP(G143,'Baumaterialien Matériaux'!$A$10:$AD$432,30,FALSE)</f>
        <v>Bois massif épicéa / sapin / mélèze, séché en cellule, raboté</v>
      </c>
      <c r="E143" s="1403"/>
      <c r="F143" s="166" t="str">
        <f>VLOOKUP(G143,'Baumaterialien Matériaux'!$A$10:$AD$432,7,FALSE)</f>
        <v>kg</v>
      </c>
      <c r="G143" s="518" t="s">
        <v>651</v>
      </c>
      <c r="H143" s="167">
        <f>0.056*465</f>
        <v>26.04</v>
      </c>
      <c r="I143" s="166"/>
      <c r="J143" s="166">
        <v>60</v>
      </c>
      <c r="K143" s="167">
        <f>$H143*_xlfn.XLOOKUP($G143,'Baumaterialien Matériaux'!$A:$A,'Baumaterialien Matériaux'!V:V,0,0)</f>
        <v>17.915519999999997</v>
      </c>
      <c r="L143" s="167">
        <f>$H143*_xlfn.XLOOKUP($G143,'Baumaterialien Matériaux'!$A:$A,'Baumaterialien Matériaux'!Y:Y,0,0)</f>
        <v>2.3123520000000002</v>
      </c>
      <c r="M143" s="167">
        <f>$H143*_xlfn.XLOOKUP($G143,'Baumaterialien Matériaux'!$A:$A,'Baumaterialien Matériaux'!AA:AA,0,0)</f>
        <v>3.48936</v>
      </c>
      <c r="N143" s="167">
        <f>$H143*_xlfn.XLOOKUP($G143,'Baumaterialien Matériaux'!$A:$A,'Baumaterialien Matériaux'!AB:AB,0,0)</f>
        <v>1.01556</v>
      </c>
      <c r="O143" s="167">
        <f>$H143*_xlfn.XLOOKUP($G143,'Baumaterialien Matériaux'!$A:$A,'Baumaterialien Matériaux'!AC:AC,0,0)*44/12</f>
        <v>43.061479999999996</v>
      </c>
      <c r="P143" s="167">
        <f>$H143*_xlfn.XLOOKUP($G143,'Baumaterialien Matériaux'!$A:$A,'Baumaterialien Matériaux'!AG:AG,0,0)</f>
        <v>0</v>
      </c>
      <c r="Q143" s="167">
        <f>$H143*_xlfn.XLOOKUP($G143,'Baumaterialien Matériaux'!$A:$A,'Baumaterialien Matériaux'!AH:AH,0,0)</f>
        <v>0</v>
      </c>
      <c r="R143" s="3"/>
      <c r="S143" s="3"/>
      <c r="T143" s="3"/>
      <c r="U143" s="3"/>
      <c r="V143" s="1785">
        <f t="shared" si="44"/>
        <v>0</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row>
    <row r="144" spans="1:86">
      <c r="A144" s="585"/>
      <c r="B144" s="165"/>
      <c r="C144" s="166" t="s">
        <v>737</v>
      </c>
      <c r="D144" s="166" t="str">
        <f>VLOOKUP(G144,'Baumaterialien Matériaux'!$A$10:$AD$432,30,FALSE)</f>
        <v>Bois lamellé / multiplex, colle PF, zone humide</v>
      </c>
      <c r="E144" s="1403"/>
      <c r="F144" s="166" t="str">
        <f>VLOOKUP(G144,'Baumaterialien Matériaux'!$A$10:$AD$432,7,FALSE)</f>
        <v>kg</v>
      </c>
      <c r="G144" s="279" t="s">
        <v>738</v>
      </c>
      <c r="H144" s="167">
        <f>0.024*500</f>
        <v>12</v>
      </c>
      <c r="I144" s="166"/>
      <c r="J144" s="166">
        <v>60</v>
      </c>
      <c r="K144" s="167">
        <f>$H144*_xlfn.XLOOKUP($G144,'Baumaterialien Matériaux'!$A:$A,'Baumaterialien Matériaux'!V:V,0,0)</f>
        <v>82.08</v>
      </c>
      <c r="L144" s="167">
        <f>$H144*_xlfn.XLOOKUP($G144,'Baumaterialien Matériaux'!$A:$A,'Baumaterialien Matériaux'!Y:Y,0,0)</f>
        <v>1.1723999999999999</v>
      </c>
      <c r="M144" s="167">
        <f>$H144*_xlfn.XLOOKUP($G144,'Baumaterialien Matériaux'!$A:$A,'Baumaterialien Matériaux'!AA:AA,0,0)</f>
        <v>16.200000000000003</v>
      </c>
      <c r="N144" s="167">
        <f>$H144*_xlfn.XLOOKUP($G144,'Baumaterialien Matériaux'!$A:$A,'Baumaterialien Matériaux'!AB:AB,0,0)</f>
        <v>0.95760000000000001</v>
      </c>
      <c r="O144" s="167">
        <f>$H144*_xlfn.XLOOKUP($G144,'Baumaterialien Matériaux'!$A:$A,'Baumaterialien Matériaux'!AC:AC,0,0)*44/12</f>
        <v>18.04</v>
      </c>
      <c r="P144" s="167">
        <f>$H144*_xlfn.XLOOKUP($G144,'Baumaterialien Matériaux'!$A:$A,'Baumaterialien Matériaux'!AG:AG,0,0)</f>
        <v>0</v>
      </c>
      <c r="Q144" s="167">
        <f>$H144*_xlfn.XLOOKUP($G144,'Baumaterialien Matériaux'!$A:$A,'Baumaterialien Matériaux'!AH:AH,0,0)</f>
        <v>0</v>
      </c>
      <c r="V144" s="1785">
        <f t="shared" si="44"/>
        <v>0</v>
      </c>
    </row>
    <row r="145" spans="1:86">
      <c r="A145" s="585"/>
      <c r="B145" s="165"/>
      <c r="C145" s="166" t="s">
        <v>739</v>
      </c>
      <c r="D145" s="166" t="str">
        <f>VLOOKUP(G145,'Baumaterialien Matériaux'!$A$10:$AD$432,30,FALSE)</f>
        <v>Colle bicomposant</v>
      </c>
      <c r="E145" s="1403"/>
      <c r="F145" s="166" t="str">
        <f>VLOOKUP(G145,'Baumaterialien Matériaux'!$A$10:$AD$432,7,FALSE)</f>
        <v>kg</v>
      </c>
      <c r="G145" s="518" t="s">
        <v>740</v>
      </c>
      <c r="H145" s="167">
        <v>0.28000000000000003</v>
      </c>
      <c r="I145" s="166"/>
      <c r="J145" s="166">
        <v>60</v>
      </c>
      <c r="K145" s="167">
        <f>$H145*_xlfn.XLOOKUP($G145,'Baumaterialien Matériaux'!$A:$A,'Baumaterialien Matériaux'!V:V,0,0)</f>
        <v>6.7760000000000007</v>
      </c>
      <c r="L145" s="167">
        <f>$H145*_xlfn.XLOOKUP($G145,'Baumaterialien Matériaux'!$A:$A,'Baumaterialien Matériaux'!Y:Y,0,0)</f>
        <v>1.5624000000000002E-2</v>
      </c>
      <c r="M145" s="167">
        <f>$H145*_xlfn.XLOOKUP($G145,'Baumaterialien Matériaux'!$A:$A,'Baumaterialien Matériaux'!AA:AA,0,0)</f>
        <v>1.3020000000000003</v>
      </c>
      <c r="N145" s="167">
        <f>$H145*_xlfn.XLOOKUP($G145,'Baumaterialien Matériaux'!$A:$A,'Baumaterialien Matériaux'!AB:AB,0,0)</f>
        <v>5.2360000000000004E-2</v>
      </c>
      <c r="O145" s="167">
        <f>$H145*_xlfn.XLOOKUP($G145,'Baumaterialien Matériaux'!$A:$A,'Baumaterialien Matériaux'!AC:AC,0,0)*44/12</f>
        <v>0</v>
      </c>
      <c r="P145" s="167">
        <f>$H145*_xlfn.XLOOKUP($G145,'Baumaterialien Matériaux'!$A:$A,'Baumaterialien Matériaux'!AG:AG,0,0)</f>
        <v>0</v>
      </c>
      <c r="Q145" s="167">
        <f>$H145*_xlfn.XLOOKUP($G145,'Baumaterialien Matériaux'!$A:$A,'Baumaterialien Matériaux'!AH:AH,0,0)</f>
        <v>0</v>
      </c>
      <c r="V145" s="1785">
        <f t="shared" si="44"/>
        <v>0</v>
      </c>
    </row>
    <row r="146" spans="1:86">
      <c r="A146" s="585"/>
      <c r="B146" s="1089"/>
      <c r="C146" s="3" t="s">
        <v>741</v>
      </c>
      <c r="D146" s="166" t="str">
        <f>VLOOKUP(G146,'Baumaterialien Matériaux'!$A$10:$AD$432,30,FALSE)</f>
        <v>Fibres de cellulose (soufflées)</v>
      </c>
      <c r="E146" s="1403"/>
      <c r="F146" s="166" t="str">
        <f>VLOOKUP(G146,'Baumaterialien Matériaux'!$A$10:$AD$432,7,FALSE)</f>
        <v>kg</v>
      </c>
      <c r="G146" s="1090" t="s">
        <v>742</v>
      </c>
      <c r="H146" s="167">
        <f>0.06*35</f>
        <v>2.1</v>
      </c>
      <c r="I146" s="166"/>
      <c r="J146" s="166">
        <v>60</v>
      </c>
      <c r="K146" s="167">
        <f>$H146*_xlfn.XLOOKUP($G146,'Baumaterialien Matériaux'!$A:$A,'Baumaterialien Matériaux'!V:V,0,0)</f>
        <v>1.8522000000000001</v>
      </c>
      <c r="L146" s="167">
        <f>$H146*_xlfn.XLOOKUP($G146,'Baumaterialien Matériaux'!$A:$A,'Baumaterialien Matériaux'!Y:Y,0,0)</f>
        <v>0.34650000000000003</v>
      </c>
      <c r="M146" s="167">
        <f>$H146*_xlfn.XLOOKUP($G146,'Baumaterialien Matériaux'!$A:$A,'Baumaterialien Matériaux'!AA:AA,0,0)</f>
        <v>0.43890000000000001</v>
      </c>
      <c r="N146" s="167">
        <f>$H146*_xlfn.XLOOKUP($G146,'Baumaterialien Matériaux'!$A:$A,'Baumaterialien Matériaux'!AB:AB,0,0)</f>
        <v>0.14889000000000002</v>
      </c>
      <c r="O146" s="167">
        <f>$H146*_xlfn.XLOOKUP($G146,'Baumaterialien Matériaux'!$A:$A,'Baumaterialien Matériaux'!AC:AC,0,0)*44/12</f>
        <v>3.1107999999999998</v>
      </c>
      <c r="P146" s="167">
        <f>$H146*_xlfn.XLOOKUP($G146,'Baumaterialien Matériaux'!$A:$A,'Baumaterialien Matériaux'!AG:AG,0,0)</f>
        <v>0</v>
      </c>
      <c r="Q146" s="167">
        <f>$H146*_xlfn.XLOOKUP($G146,'Baumaterialien Matériaux'!$A:$A,'Baumaterialien Matériaux'!AH:AH,0,0)</f>
        <v>0</v>
      </c>
      <c r="V146" s="1785">
        <f t="shared" si="44"/>
        <v>0</v>
      </c>
    </row>
    <row r="147" spans="1:86" s="572" customFormat="1" ht="15.75" thickBot="1">
      <c r="A147" s="587"/>
      <c r="B147" s="576"/>
      <c r="G147" s="573"/>
      <c r="J147" s="586"/>
      <c r="K147" s="574">
        <f t="shared" ref="K147:L147" si="50">SUM(K143:K145)</f>
        <v>106.77152</v>
      </c>
      <c r="L147" s="574">
        <f t="shared" si="50"/>
        <v>3.5003760000000002</v>
      </c>
      <c r="M147" s="574">
        <f t="shared" ref="M147:O147" si="51">SUM(M143:M145)</f>
        <v>20.991360000000004</v>
      </c>
      <c r="N147" s="574">
        <f t="shared" si="51"/>
        <v>2.0255200000000002</v>
      </c>
      <c r="O147" s="574">
        <f t="shared" si="51"/>
        <v>61.101479999999995</v>
      </c>
      <c r="P147" s="574">
        <f t="shared" ref="P147:Q147" si="52">SUM(P143:P145)</f>
        <v>0</v>
      </c>
      <c r="Q147" s="574">
        <f t="shared" si="52"/>
        <v>0</v>
      </c>
      <c r="R147" s="3"/>
      <c r="S147" s="540">
        <f>(M147+N147)/J146</f>
        <v>0.38361466666666671</v>
      </c>
      <c r="T147" s="3">
        <v>0.56999999999999995</v>
      </c>
      <c r="U147" s="3"/>
      <c r="V147" s="1785">
        <f t="shared" si="44"/>
        <v>0</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row>
    <row r="148" spans="1:86" ht="15.75" thickTop="1">
      <c r="A148" s="159"/>
      <c r="J148" s="1"/>
      <c r="K148" s="842"/>
      <c r="L148" s="842"/>
      <c r="M148" s="842"/>
      <c r="N148" s="842"/>
      <c r="O148" s="842"/>
      <c r="P148" s="842"/>
      <c r="Q148" s="842"/>
      <c r="V148" s="1785">
        <f t="shared" si="44"/>
        <v>0</v>
      </c>
    </row>
    <row r="149" spans="1:86" s="149" customFormat="1">
      <c r="A149" s="591" t="s">
        <v>743</v>
      </c>
      <c r="B149" s="1907" t="s">
        <v>744</v>
      </c>
      <c r="C149" s="166" t="s">
        <v>723</v>
      </c>
      <c r="D149" s="166" t="str">
        <f>VLOOKUP(G149,'Baumaterialien Matériaux'!$A$10:$AD$432,30,FALSE)</f>
        <v>Béton pour bâtiment (sans armature)</v>
      </c>
      <c r="E149" s="1403"/>
      <c r="F149" s="166" t="str">
        <f>VLOOKUP(G149,'Baumaterialien Matériaux'!$A$10:$AD$432,7,FALSE)</f>
        <v>kg</v>
      </c>
      <c r="G149" s="518" t="s">
        <v>570</v>
      </c>
      <c r="H149" s="167">
        <f>(0.11-H150/7850)*2300</f>
        <v>250.42165605095539</v>
      </c>
      <c r="I149" s="1095"/>
      <c r="J149" s="535">
        <v>60</v>
      </c>
      <c r="K149" s="843">
        <f>$H149*_xlfn.XLOOKUP($G149,'Baumaterialien Matériaux'!$A:$A,'Baumaterialien Matériaux'!V:V,0,0)</f>
        <v>30.801863694267514</v>
      </c>
      <c r="L149" s="843">
        <f>$H149*_xlfn.XLOOKUP($G149,'Baumaterialien Matériaux'!$A:$A,'Baumaterialien Matériaux'!Y:Y,0,0)</f>
        <v>12.84663095541401</v>
      </c>
      <c r="M149" s="843">
        <f>$H149*_xlfn.XLOOKUP($G149,'Baumaterialien Matériaux'!$A:$A,'Baumaterialien Matériaux'!AA:AA,0,0)</f>
        <v>22.212400891719742</v>
      </c>
      <c r="N149" s="843">
        <f>$H149*_xlfn.XLOOKUP($G149,'Baumaterialien Matériaux'!$A:$A,'Baumaterialien Matériaux'!AB:AB,0,0)</f>
        <v>3.155312866242038</v>
      </c>
      <c r="O149" s="843">
        <f>$H149*_xlfn.XLOOKUP($G149,'Baumaterialien Matériaux'!$A:$A,'Baumaterialien Matériaux'!AC:AC,0,0)*44/12</f>
        <v>0</v>
      </c>
      <c r="P149" s="843">
        <f>$H149*_xlfn.XLOOKUP($G149,'Baumaterialien Matériaux'!$A:$A,'Baumaterialien Matériaux'!AG:AG,0,0)</f>
        <v>0</v>
      </c>
      <c r="Q149" s="843">
        <f>$H149*_xlfn.XLOOKUP($G149,'Baumaterialien Matériaux'!$A:$A,'Baumaterialien Matériaux'!AH:AH,0,0)</f>
        <v>0</v>
      </c>
      <c r="R149" s="3"/>
      <c r="S149" s="3"/>
      <c r="T149" s="3"/>
      <c r="U149" s="3"/>
      <c r="V149" s="1785">
        <f t="shared" si="44"/>
        <v>0</v>
      </c>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row>
    <row r="150" spans="1:86">
      <c r="A150" s="159"/>
      <c r="B150" s="1907"/>
      <c r="C150" s="166" t="s">
        <v>745</v>
      </c>
      <c r="D150" s="166" t="str">
        <f>VLOOKUP(G150,'Baumaterialien Matériaux'!$A$10:$AD$432,30,FALSE)</f>
        <v>Acier d'armature</v>
      </c>
      <c r="E150" s="1403"/>
      <c r="F150" s="166" t="str">
        <f>VLOOKUP(G150,'Baumaterialien Matériaux'!$A$10:$AD$432,7,FALSE)</f>
        <v>kg</v>
      </c>
      <c r="G150" s="279" t="s">
        <v>572</v>
      </c>
      <c r="H150" s="167">
        <f>80*0.11</f>
        <v>8.8000000000000007</v>
      </c>
      <c r="J150" s="535">
        <v>60</v>
      </c>
      <c r="K150" s="843">
        <f>$H150*_xlfn.XLOOKUP($G150,'Baumaterialien Matériaux'!$A:$A,'Baumaterialien Matériaux'!V:V,0,0)</f>
        <v>29.832000000000004</v>
      </c>
      <c r="L150" s="843">
        <f>$H150*_xlfn.XLOOKUP($G150,'Baumaterialien Matériaux'!$A:$A,'Baumaterialien Matériaux'!Y:Y,0,0)</f>
        <v>0.44440000000000007</v>
      </c>
      <c r="M150" s="843">
        <f>$H150*_xlfn.XLOOKUP($G150,'Baumaterialien Matériaux'!$A:$A,'Baumaterialien Matériaux'!AA:AA,0,0)</f>
        <v>6.8024000000000004</v>
      </c>
      <c r="N150" s="843">
        <f>$H150*_xlfn.XLOOKUP($G150,'Baumaterialien Matériaux'!$A:$A,'Baumaterialien Matériaux'!AB:AB,0,0)</f>
        <v>0.10736000000000001</v>
      </c>
      <c r="O150" s="843">
        <f>$H150*_xlfn.XLOOKUP($G150,'Baumaterialien Matériaux'!$A:$A,'Baumaterialien Matériaux'!AC:AC,0,0)*44/12</f>
        <v>0</v>
      </c>
      <c r="P150" s="843">
        <f>$H150*_xlfn.XLOOKUP($G150,'Baumaterialien Matériaux'!$A:$A,'Baumaterialien Matériaux'!AG:AG,0,0)</f>
        <v>0</v>
      </c>
      <c r="Q150" s="843">
        <f>$H150*_xlfn.XLOOKUP($G150,'Baumaterialien Matériaux'!$A:$A,'Baumaterialien Matériaux'!AH:AH,0,0)</f>
        <v>0</v>
      </c>
      <c r="V150" s="1785">
        <f t="shared" si="44"/>
        <v>0</v>
      </c>
    </row>
    <row r="151" spans="1:86">
      <c r="A151" s="159"/>
      <c r="B151" s="1907"/>
      <c r="C151" s="166" t="s">
        <v>746</v>
      </c>
      <c r="D151" s="166" t="str">
        <f>VLOOKUP(G151,'Baumaterialien Matériaux'!$A$10:$AD$432,30,FALSE)</f>
        <v>Tôle d'acier, zinguée</v>
      </c>
      <c r="E151" s="1403"/>
      <c r="F151" s="166" t="str">
        <f>VLOOKUP(G151,'Baumaterialien Matériaux'!$A$10:$AD$432,7,FALSE)</f>
        <v>kg</v>
      </c>
      <c r="G151" s="508" t="s">
        <v>657</v>
      </c>
      <c r="H151" s="167">
        <v>13</v>
      </c>
      <c r="J151" s="535">
        <v>60</v>
      </c>
      <c r="K151" s="843">
        <f>$H151*_xlfn.XLOOKUP($G151,'Baumaterialien Matériaux'!$A:$A,'Baumaterialien Matériaux'!V:V,0,0)</f>
        <v>202.79999999999998</v>
      </c>
      <c r="L151" s="843">
        <f>$H151*_xlfn.XLOOKUP($G151,'Baumaterialien Matériaux'!$A:$A,'Baumaterialien Matériaux'!Y:Y,0,0)</f>
        <v>0.35359999999999997</v>
      </c>
      <c r="M151" s="843">
        <f>$H151*_xlfn.XLOOKUP($G151,'Baumaterialien Matériaux'!$A:$A,'Baumaterialien Matériaux'!AA:AA,0,0)</f>
        <v>58.240000000000009</v>
      </c>
      <c r="N151" s="843">
        <f>$H151*_xlfn.XLOOKUP($G151,'Baumaterialien Matériaux'!$A:$A,'Baumaterialien Matériaux'!AB:AB,0,0)</f>
        <v>9.0090000000000003E-2</v>
      </c>
      <c r="O151" s="843">
        <f>$H151*_xlfn.XLOOKUP($G151,'Baumaterialien Matériaux'!$A:$A,'Baumaterialien Matériaux'!AC:AC,0,0)*44/12</f>
        <v>0</v>
      </c>
      <c r="P151" s="843">
        <f>$H151*_xlfn.XLOOKUP($G151,'Baumaterialien Matériaux'!$A:$A,'Baumaterialien Matériaux'!AG:AG,0,0)</f>
        <v>0</v>
      </c>
      <c r="Q151" s="843">
        <f>$H151*_xlfn.XLOOKUP($G151,'Baumaterialien Matériaux'!$A:$A,'Baumaterialien Matériaux'!AH:AH,0,0)</f>
        <v>0</v>
      </c>
      <c r="V151" s="1785">
        <f t="shared" si="44"/>
        <v>0</v>
      </c>
    </row>
    <row r="152" spans="1:86">
      <c r="A152" s="159"/>
      <c r="B152" s="1907"/>
      <c r="C152" s="166" t="s">
        <v>747</v>
      </c>
      <c r="D152" s="166" t="str">
        <f>VLOOKUP(G152,'Baumaterialien Matériaux'!$A$10:$AD$432,30,FALSE)</f>
        <v>Profil en acier, nu</v>
      </c>
      <c r="E152" s="1403"/>
      <c r="F152" s="166" t="str">
        <f>VLOOKUP(G152,'Baumaterialien Matériaux'!$A$10:$AD$432,7,FALSE)</f>
        <v>kg</v>
      </c>
      <c r="G152" s="508" t="s">
        <v>748</v>
      </c>
      <c r="H152" s="167">
        <v>10</v>
      </c>
      <c r="J152" s="535">
        <v>60</v>
      </c>
      <c r="K152" s="843">
        <f>$H152*_xlfn.XLOOKUP($G152,'Baumaterialien Matériaux'!$A:$A,'Baumaterialien Matériaux'!V:V,0,0)</f>
        <v>33.5</v>
      </c>
      <c r="L152" s="843">
        <f>$H152*_xlfn.XLOOKUP($G152,'Baumaterialien Matériaux'!$A:$A,'Baumaterialien Matériaux'!Y:Y,0,0)</f>
        <v>0.27199999999999996</v>
      </c>
      <c r="M152" s="843">
        <f>$H152*_xlfn.XLOOKUP($G152,'Baumaterialien Matériaux'!$A:$A,'Baumaterialien Matériaux'!AA:AA,0,0)</f>
        <v>7.3</v>
      </c>
      <c r="N152" s="843">
        <f>$H152*_xlfn.XLOOKUP($G152,'Baumaterialien Matériaux'!$A:$A,'Baumaterialien Matériaux'!AB:AB,0,0)</f>
        <v>6.93E-2</v>
      </c>
      <c r="O152" s="843">
        <f>$H152*_xlfn.XLOOKUP($G152,'Baumaterialien Matériaux'!$A:$A,'Baumaterialien Matériaux'!AC:AC,0,0)*44/12</f>
        <v>0</v>
      </c>
      <c r="P152" s="843">
        <f>$H152*_xlfn.XLOOKUP($G152,'Baumaterialien Matériaux'!$A:$A,'Baumaterialien Matériaux'!AG:AG,0,0)</f>
        <v>0</v>
      </c>
      <c r="Q152" s="843">
        <f>$H152*_xlfn.XLOOKUP($G152,'Baumaterialien Matériaux'!$A:$A,'Baumaterialien Matériaux'!AH:AH,0,0)</f>
        <v>0</v>
      </c>
      <c r="V152" s="1785">
        <f t="shared" si="44"/>
        <v>0</v>
      </c>
    </row>
    <row r="153" spans="1:86" s="572" customFormat="1" ht="15.75" thickBot="1">
      <c r="A153" s="590"/>
      <c r="B153" s="576"/>
      <c r="G153" s="573"/>
      <c r="J153" s="586">
        <v>60</v>
      </c>
      <c r="K153" s="574">
        <f t="shared" ref="K153:L153" si="53">SUM(K149:K152)</f>
        <v>296.93386369426753</v>
      </c>
      <c r="L153" s="574">
        <f t="shared" si="53"/>
        <v>13.916630955414011</v>
      </c>
      <c r="M153" s="574">
        <f t="shared" ref="M153:O153" si="54">SUM(M149:M152)</f>
        <v>94.554800891719751</v>
      </c>
      <c r="N153" s="574">
        <f t="shared" si="54"/>
        <v>3.422062866242038</v>
      </c>
      <c r="O153" s="574">
        <f t="shared" si="54"/>
        <v>0</v>
      </c>
      <c r="P153" s="574">
        <f t="shared" ref="P153:Q153" si="55">SUM(P149:P152)</f>
        <v>0</v>
      </c>
      <c r="Q153" s="574">
        <f t="shared" si="55"/>
        <v>0</v>
      </c>
      <c r="R153" s="3"/>
      <c r="S153" s="540">
        <f>(M153+N153)/J152</f>
        <v>1.6329477292993633</v>
      </c>
      <c r="T153" s="3">
        <v>1.4</v>
      </c>
      <c r="U153" s="3"/>
      <c r="V153" s="1785">
        <f t="shared" si="44"/>
        <v>0</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row>
    <row r="154" spans="1:86" ht="15" thickTop="1">
      <c r="K154" s="126"/>
      <c r="L154" s="126"/>
      <c r="M154" s="126"/>
      <c r="N154" s="126"/>
      <c r="O154" s="126"/>
      <c r="P154" s="126"/>
      <c r="Q154" s="126"/>
      <c r="V154" s="1785">
        <f t="shared" si="44"/>
        <v>0</v>
      </c>
    </row>
    <row r="155" spans="1:86" s="134" customFormat="1" ht="17.25">
      <c r="A155" s="132" t="s">
        <v>749</v>
      </c>
      <c r="B155" s="132" t="s">
        <v>434</v>
      </c>
      <c r="C155" s="132"/>
      <c r="D155" s="132"/>
      <c r="E155" s="132"/>
      <c r="F155" s="132"/>
      <c r="G155" s="504"/>
      <c r="H155" s="132" t="s">
        <v>635</v>
      </c>
      <c r="I155" s="132"/>
      <c r="K155" s="804"/>
      <c r="L155" s="804"/>
      <c r="M155" s="804"/>
      <c r="N155" s="804"/>
      <c r="O155" s="804"/>
      <c r="P155" s="804"/>
      <c r="Q155" s="804"/>
      <c r="V155" s="1785">
        <f t="shared" si="44"/>
        <v>0</v>
      </c>
    </row>
    <row r="156" spans="1:86">
      <c r="K156" s="126"/>
      <c r="L156" s="126"/>
      <c r="M156" s="126"/>
      <c r="N156" s="126"/>
      <c r="O156" s="126"/>
      <c r="P156" s="126"/>
      <c r="Q156" s="126"/>
      <c r="V156" s="1785">
        <f t="shared" si="44"/>
        <v>0</v>
      </c>
    </row>
    <row r="157" spans="1:86" s="557" customFormat="1">
      <c r="A157" s="1056" t="s">
        <v>750</v>
      </c>
      <c r="B157" s="1934" t="s">
        <v>751</v>
      </c>
      <c r="C157" s="538" t="s">
        <v>752</v>
      </c>
      <c r="D157" s="538" t="str">
        <f>VLOOKUP(G157,'Baumaterialien Matériaux'!$A$10:$AD$432,30,FALSE)</f>
        <v>Barrière de vapeur bitumineuse</v>
      </c>
      <c r="E157" s="1785"/>
      <c r="F157" s="538" t="str">
        <f>VLOOKUP(G157,'Baumaterialien Matériaux'!$A$10:$AD$432,7,FALSE)</f>
        <v>kg</v>
      </c>
      <c r="G157" s="546" t="s">
        <v>753</v>
      </c>
      <c r="H157" s="539">
        <f>2*3.6</f>
        <v>7.2</v>
      </c>
      <c r="I157" s="538"/>
      <c r="J157" s="548">
        <v>30</v>
      </c>
      <c r="K157" s="848">
        <f>$H157*_xlfn.XLOOKUP($G157,'Baumaterialien Matériaux'!$A:$A,'Baumaterialien Matériaux'!V:V,0,0)</f>
        <v>95.039999999999992</v>
      </c>
      <c r="L157" s="848">
        <f>$H157*_xlfn.XLOOKUP($G157,'Baumaterialien Matériaux'!$A:$A,'Baumaterialien Matériaux'!Y:Y,0,0)</f>
        <v>1.9152000000000002</v>
      </c>
      <c r="M157" s="848">
        <f>$H157*_xlfn.XLOOKUP($G157,'Baumaterialien Matériaux'!$A:$A,'Baumaterialien Matériaux'!AA:AA,0,0)</f>
        <v>9.4320000000000004</v>
      </c>
      <c r="N157" s="848">
        <f>$H157*_xlfn.XLOOKUP($G157,'Baumaterialien Matériaux'!$A:$A,'Baumaterialien Matériaux'!AB:AB,0,0)</f>
        <v>16.776</v>
      </c>
      <c r="O157" s="848">
        <f>$H157*_xlfn.XLOOKUP($G157,'Baumaterialien Matériaux'!$A:$A,'Baumaterialien Matériaux'!AC:AC,0,0)*44/12</f>
        <v>0</v>
      </c>
      <c r="P157" s="848">
        <f>$H157*_xlfn.XLOOKUP($G157,'Baumaterialien Matériaux'!$A:$A,'Baumaterialien Matériaux'!AG:AG,0,0)</f>
        <v>0</v>
      </c>
      <c r="Q157" s="847"/>
      <c r="R157" s="540"/>
      <c r="S157" s="540"/>
      <c r="T157" s="540"/>
      <c r="U157" s="540"/>
      <c r="V157" s="1785">
        <f t="shared" si="44"/>
        <v>0</v>
      </c>
      <c r="W157" s="540"/>
      <c r="X157" s="540"/>
      <c r="Y157" s="540"/>
      <c r="Z157" s="540"/>
      <c r="AA157" s="540"/>
      <c r="AB157" s="540"/>
      <c r="AC157" s="540"/>
      <c r="AD157" s="540"/>
      <c r="AE157" s="540"/>
      <c r="AF157" s="540"/>
      <c r="AG157" s="540"/>
      <c r="AH157" s="540"/>
      <c r="AI157" s="540"/>
      <c r="AJ157" s="540"/>
      <c r="AK157" s="540"/>
      <c r="AL157" s="540"/>
      <c r="AM157" s="540"/>
      <c r="AN157" s="540"/>
      <c r="AO157" s="540"/>
      <c r="AP157" s="540"/>
      <c r="AQ157" s="540"/>
      <c r="AR157" s="540"/>
      <c r="AS157" s="540"/>
      <c r="AT157" s="540"/>
      <c r="AU157" s="540"/>
      <c r="AV157" s="540"/>
      <c r="AW157" s="540"/>
      <c r="AX157" s="540"/>
      <c r="AY157" s="540"/>
      <c r="AZ157" s="540"/>
      <c r="BA157" s="540"/>
      <c r="BB157" s="540"/>
      <c r="BC157" s="540"/>
      <c r="BD157" s="540"/>
      <c r="BE157" s="540"/>
      <c r="BF157" s="540"/>
      <c r="BG157" s="540"/>
      <c r="BH157" s="540"/>
      <c r="BI157" s="540"/>
      <c r="BJ157" s="540"/>
      <c r="BK157" s="540"/>
      <c r="BL157" s="540"/>
      <c r="BM157" s="540"/>
      <c r="BN157" s="540"/>
      <c r="BO157" s="540"/>
      <c r="BP157" s="540"/>
      <c r="BQ157" s="540"/>
      <c r="BR157" s="540"/>
      <c r="BS157" s="540"/>
      <c r="BT157" s="540"/>
      <c r="BU157" s="540"/>
      <c r="BV157" s="540"/>
      <c r="BW157" s="540"/>
      <c r="BX157" s="540"/>
      <c r="BY157" s="540"/>
      <c r="BZ157" s="540"/>
      <c r="CA157" s="540"/>
      <c r="CB157" s="540"/>
      <c r="CC157" s="540"/>
      <c r="CD157" s="540"/>
      <c r="CE157" s="540"/>
      <c r="CF157" s="540"/>
      <c r="CG157" s="540"/>
      <c r="CH157" s="540"/>
    </row>
    <row r="158" spans="1:86" s="540" customFormat="1">
      <c r="B158" s="1934"/>
      <c r="C158" s="538" t="s">
        <v>604</v>
      </c>
      <c r="D158" s="538" t="str">
        <f>VLOOKUP(G158,'Baumaterialien Matériaux'!$A$10:$AD$432,30,FALSE)</f>
        <v>Émulsion de bitume, 1 couche</v>
      </c>
      <c r="E158" s="1785"/>
      <c r="F158" s="538" t="str">
        <f>VLOOKUP(G158,'Baumaterialien Matériaux'!$A$10:$AD$432,7,FALSE)</f>
        <v>m2</v>
      </c>
      <c r="G158" s="561" t="s">
        <v>576</v>
      </c>
      <c r="H158" s="539">
        <v>1</v>
      </c>
      <c r="I158" s="538"/>
      <c r="J158" s="548">
        <v>30</v>
      </c>
      <c r="K158" s="848">
        <f>$H158*_xlfn.XLOOKUP($G158,'Baumaterialien Matériaux'!$A:$A,'Baumaterialien Matériaux'!V:V,0,0)</f>
        <v>1.84</v>
      </c>
      <c r="L158" s="848">
        <f>$H158*_xlfn.XLOOKUP($G158,'Baumaterialien Matériaux'!$A:$A,'Baumaterialien Matériaux'!Y:Y,0,0)</f>
        <v>1.4E-2</v>
      </c>
      <c r="M158" s="848">
        <f>$H158*_xlfn.XLOOKUP($G158,'Baumaterialien Matériaux'!$A:$A,'Baumaterialien Matériaux'!AA:AA,0,0)</f>
        <v>0.13400000000000001</v>
      </c>
      <c r="N158" s="848">
        <f>$H158*_xlfn.XLOOKUP($G158,'Baumaterialien Matériaux'!$A:$A,'Baumaterialien Matériaux'!AB:AB,0,0)</f>
        <v>4.6800000000000001E-2</v>
      </c>
      <c r="O158" s="848">
        <f>$H158*_xlfn.XLOOKUP($G158,'Baumaterialien Matériaux'!$A:$A,'Baumaterialien Matériaux'!AC:AC,0,0)*44/12</f>
        <v>0</v>
      </c>
      <c r="P158" s="848">
        <f>$H158*_xlfn.XLOOKUP($G158,'Baumaterialien Matériaux'!$A:$A,'Baumaterialien Matériaux'!AG:AG,0,0)</f>
        <v>0</v>
      </c>
      <c r="Q158" s="848">
        <f>$H157*_xlfn.XLOOKUP($G157,'Baumaterialien Matériaux'!$A:$A,'Baumaterialien Matériaux'!AH:AH,0,0)</f>
        <v>0</v>
      </c>
      <c r="V158" s="1785">
        <f t="shared" si="44"/>
        <v>0</v>
      </c>
    </row>
    <row r="159" spans="1:86" s="540" customFormat="1">
      <c r="B159" s="1934"/>
      <c r="C159" s="538" t="s">
        <v>754</v>
      </c>
      <c r="D159" s="538" t="str">
        <f>VLOOKUP(G159,'Baumaterialien Matériaux'!$A$10:$AD$432,30,FALSE)</f>
        <v>Lé d'étanchéité bitumineux</v>
      </c>
      <c r="E159" s="1785"/>
      <c r="F159" s="538" t="str">
        <f>VLOOKUP(G159,'Baumaterialien Matériaux'!$A$10:$AD$432,7,FALSE)</f>
        <v>kg</v>
      </c>
      <c r="G159" s="561" t="s">
        <v>755</v>
      </c>
      <c r="H159" s="539">
        <f>5.2</f>
        <v>5.2</v>
      </c>
      <c r="I159" s="538"/>
      <c r="J159" s="548">
        <v>30</v>
      </c>
      <c r="K159" s="848">
        <f>$H159*_xlfn.XLOOKUP($G159,'Baumaterialien Matériaux'!$A:$A,'Baumaterialien Matériaux'!V:V,0,0)</f>
        <v>62.400000000000006</v>
      </c>
      <c r="L159" s="848">
        <f>$H159*_xlfn.XLOOKUP($G159,'Baumaterialien Matériaux'!$A:$A,'Baumaterialien Matériaux'!Y:Y,0,0)</f>
        <v>1.3832000000000002</v>
      </c>
      <c r="M159" s="848">
        <f>$H159*_xlfn.XLOOKUP($G159,'Baumaterialien Matériaux'!$A:$A,'Baumaterialien Matériaux'!AA:AA,0,0)</f>
        <v>5.2</v>
      </c>
      <c r="N159" s="848">
        <f>$H159*_xlfn.XLOOKUP($G159,'Baumaterialien Matériaux'!$A:$A,'Baumaterialien Matériaux'!AB:AB,0,0)</f>
        <v>12.116000000000001</v>
      </c>
      <c r="O159" s="848">
        <f>$H159*_xlfn.XLOOKUP($G159,'Baumaterialien Matériaux'!$A:$A,'Baumaterialien Matériaux'!AC:AC,0,0)*44/12</f>
        <v>0</v>
      </c>
      <c r="P159" s="848">
        <f>$H159*_xlfn.XLOOKUP($G159,'Baumaterialien Matériaux'!$A:$A,'Baumaterialien Matériaux'!AG:AG,0,0)</f>
        <v>0</v>
      </c>
      <c r="Q159" s="848">
        <f>$H158*_xlfn.XLOOKUP($G158,'Baumaterialien Matériaux'!$A:$A,'Baumaterialien Matériaux'!AH:AH,0,0)</f>
        <v>0</v>
      </c>
      <c r="V159" s="1785">
        <f t="shared" si="44"/>
        <v>0</v>
      </c>
    </row>
    <row r="160" spans="1:86" s="540" customFormat="1">
      <c r="B160" s="1934"/>
      <c r="C160" s="538" t="s">
        <v>756</v>
      </c>
      <c r="D160" s="538" t="str">
        <f>VLOOKUP(G160,'Baumaterialien Matériaux'!$A$10:$AD$432,30,FALSE)</f>
        <v>Voile de polyéthylène (PE)</v>
      </c>
      <c r="E160" s="1785"/>
      <c r="F160" s="538" t="str">
        <f>VLOOKUP(G160,'Baumaterialien Matériaux'!$A$10:$AD$432,7,FALSE)</f>
        <v>kg</v>
      </c>
      <c r="G160" s="546" t="s">
        <v>600</v>
      </c>
      <c r="H160" s="539">
        <v>0.14000000000000001</v>
      </c>
      <c r="I160" s="538"/>
      <c r="J160" s="548">
        <v>30</v>
      </c>
      <c r="K160" s="848">
        <f>$H160*_xlfn.XLOOKUP($G160,'Baumaterialien Matériaux'!$A:$A,'Baumaterialien Matériaux'!V:V,0,0)</f>
        <v>3.5980000000000003</v>
      </c>
      <c r="L160" s="848">
        <f>$H160*_xlfn.XLOOKUP($G160,'Baumaterialien Matériaux'!$A:$A,'Baumaterialien Matériaux'!Y:Y,0,0)</f>
        <v>2.9260000000000001E-2</v>
      </c>
      <c r="M160" s="848">
        <f>$H160*_xlfn.XLOOKUP($G160,'Baumaterialien Matériaux'!$A:$A,'Baumaterialien Matériaux'!AA:AA,0,0)</f>
        <v>0.41440000000000005</v>
      </c>
      <c r="N160" s="848">
        <f>$H160*_xlfn.XLOOKUP($G160,'Baumaterialien Matériaux'!$A:$A,'Baumaterialien Matériaux'!AB:AB,0,0)</f>
        <v>0.37380000000000002</v>
      </c>
      <c r="O160" s="848">
        <f>$H160*_xlfn.XLOOKUP($G160,'Baumaterialien Matériaux'!$A:$A,'Baumaterialien Matériaux'!AC:AC,0,0)*44/12</f>
        <v>0</v>
      </c>
      <c r="P160" s="848">
        <f>$H160*_xlfn.XLOOKUP($G160,'Baumaterialien Matériaux'!$A:$A,'Baumaterialien Matériaux'!AG:AG,0,0)</f>
        <v>0</v>
      </c>
      <c r="Q160" s="848">
        <f>$H159*_xlfn.XLOOKUP($G159,'Baumaterialien Matériaux'!$A:$A,'Baumaterialien Matériaux'!AH:AH,0,0)</f>
        <v>0</v>
      </c>
      <c r="V160" s="1785">
        <f t="shared" si="44"/>
        <v>0</v>
      </c>
    </row>
    <row r="161" spans="1:86" s="540" customFormat="1">
      <c r="B161" s="1934"/>
      <c r="C161" s="538" t="s">
        <v>601</v>
      </c>
      <c r="D161" s="538" t="str">
        <f>VLOOKUP(G161,'Baumaterialien Matériaux'!$A$10:$AD$432,30,FALSE)</f>
        <v>Gravier rond 1</v>
      </c>
      <c r="E161" s="1785"/>
      <c r="F161" s="538" t="str">
        <f>VLOOKUP(G161,'Baumaterialien Matériaux'!$A$10:$AD$432,7,FALSE)</f>
        <v>kg</v>
      </c>
      <c r="G161" s="571" t="s">
        <v>602</v>
      </c>
      <c r="H161" s="539">
        <f>1500*0.03</f>
        <v>45</v>
      </c>
      <c r="I161" s="538"/>
      <c r="J161" s="548">
        <v>30</v>
      </c>
      <c r="K161" s="848">
        <f>$H161*_xlfn.XLOOKUP($G161,'Baumaterialien Matériaux'!$A:$A,'Baumaterialien Matériaux'!V:V,0,0)</f>
        <v>0.70199999999999996</v>
      </c>
      <c r="L161" s="848">
        <f>$H161*_xlfn.XLOOKUP($G161,'Baumaterialien Matériaux'!$A:$A,'Baumaterialien Matériaux'!Y:Y,0,0)</f>
        <v>2.367</v>
      </c>
      <c r="M161" s="848">
        <f>$H161*_xlfn.XLOOKUP($G161,'Baumaterialien Matériaux'!$A:$A,'Baumaterialien Matériaux'!AA:AA,0,0)</f>
        <v>0.13725000000000001</v>
      </c>
      <c r="N161" s="848">
        <f>$H161*_xlfn.XLOOKUP($G161,'Baumaterialien Matériaux'!$A:$A,'Baumaterialien Matériaux'!AB:AB,0,0)</f>
        <v>0.56699999999999995</v>
      </c>
      <c r="O161" s="848">
        <f>$H161*_xlfn.XLOOKUP($G161,'Baumaterialien Matériaux'!$A:$A,'Baumaterialien Matériaux'!AC:AC,0,0)*44/12</f>
        <v>0</v>
      </c>
      <c r="P161" s="848">
        <f>$H161*_xlfn.XLOOKUP($G161,'Baumaterialien Matériaux'!$A:$A,'Baumaterialien Matériaux'!AG:AG,0,0)</f>
        <v>0</v>
      </c>
      <c r="Q161" s="848">
        <f>$H160*_xlfn.XLOOKUP($G160,'Baumaterialien Matériaux'!$A:$A,'Baumaterialien Matériaux'!AH:AH,0,0)</f>
        <v>0</v>
      </c>
      <c r="V161" s="1785">
        <f t="shared" si="44"/>
        <v>0</v>
      </c>
    </row>
    <row r="162" spans="1:86" s="540" customFormat="1">
      <c r="B162" s="1934"/>
      <c r="C162" s="538" t="s">
        <v>757</v>
      </c>
      <c r="D162" s="538" t="str">
        <f>VLOOKUP(G162,'Baumaterialien Matériaux'!$A$10:$AD$432,30,FALSE)</f>
        <v>Sable 1</v>
      </c>
      <c r="E162" s="1785"/>
      <c r="F162" s="538" t="str">
        <f>VLOOKUP(G162,'Baumaterialien Matériaux'!$A$10:$AD$432,7,FALSE)</f>
        <v>kg</v>
      </c>
      <c r="G162" s="561" t="s">
        <v>758</v>
      </c>
      <c r="H162" s="539">
        <f>0.07*1000</f>
        <v>70</v>
      </c>
      <c r="I162" s="538"/>
      <c r="J162" s="549">
        <v>30</v>
      </c>
      <c r="K162" s="849">
        <f>$H162*_xlfn.XLOOKUP($G162,'Baumaterialien Matériaux'!$A:$A,'Baumaterialien Matériaux'!V:V,0,0)</f>
        <v>1.0919999999999999</v>
      </c>
      <c r="L162" s="849">
        <f>$H162*_xlfn.XLOOKUP($G162,'Baumaterialien Matériaux'!$A:$A,'Baumaterialien Matériaux'!Y:Y,0,0)</f>
        <v>3.6819999999999999</v>
      </c>
      <c r="M162" s="849">
        <f>$H162*_xlfn.XLOOKUP($G162,'Baumaterialien Matériaux'!$A:$A,'Baumaterialien Matériaux'!AA:AA,0,0)</f>
        <v>0.21350000000000002</v>
      </c>
      <c r="N162" s="849">
        <f>$H162*_xlfn.XLOOKUP($G162,'Baumaterialien Matériaux'!$A:$A,'Baumaterialien Matériaux'!AB:AB,0,0)</f>
        <v>0.88200000000000001</v>
      </c>
      <c r="O162" s="849">
        <f>$H162*_xlfn.XLOOKUP($G162,'Baumaterialien Matériaux'!$A:$A,'Baumaterialien Matériaux'!AC:AC,0,0)*44/12</f>
        <v>0</v>
      </c>
      <c r="P162" s="849">
        <f>$H162*_xlfn.XLOOKUP($G162,'Baumaterialien Matériaux'!$A:$A,'Baumaterialien Matériaux'!AG:AG,0,0)</f>
        <v>0</v>
      </c>
      <c r="Q162" s="848">
        <f>$H161*_xlfn.XLOOKUP($G161,'Baumaterialien Matériaux'!$A:$A,'Baumaterialien Matériaux'!AH:AH,0,0)</f>
        <v>0</v>
      </c>
      <c r="V162" s="1785">
        <f t="shared" si="44"/>
        <v>0</v>
      </c>
    </row>
    <row r="163" spans="1:86" s="577" customFormat="1" ht="15.75" thickBot="1">
      <c r="B163" s="588"/>
      <c r="G163" s="579"/>
      <c r="H163" s="609"/>
      <c r="J163" s="589">
        <v>30</v>
      </c>
      <c r="K163" s="581">
        <f t="shared" ref="K163:L163" si="56">SUM(K157:K162)</f>
        <v>164.67200000000003</v>
      </c>
      <c r="L163" s="581">
        <f t="shared" si="56"/>
        <v>9.3906600000000005</v>
      </c>
      <c r="M163" s="581">
        <f>SUM(M157:M162)</f>
        <v>15.531150000000002</v>
      </c>
      <c r="N163" s="581">
        <f>SUM(N157:N162)</f>
        <v>30.761600000000001</v>
      </c>
      <c r="O163" s="581">
        <f>SUM(O157:O162)</f>
        <v>0</v>
      </c>
      <c r="P163" s="581">
        <f>SUM(P157:P162)</f>
        <v>0</v>
      </c>
      <c r="Q163" s="581">
        <f>SUM(Q157:Q162)</f>
        <v>0</v>
      </c>
      <c r="R163" s="540"/>
      <c r="S163" s="540">
        <f>(M163+N163)/J162</f>
        <v>1.5430916666666668</v>
      </c>
      <c r="T163" s="540">
        <v>2.94</v>
      </c>
      <c r="U163" s="540"/>
      <c r="V163" s="1785">
        <f t="shared" si="44"/>
        <v>0</v>
      </c>
      <c r="W163" s="540"/>
      <c r="X163" s="540"/>
      <c r="Y163" s="540"/>
      <c r="Z163" s="540"/>
      <c r="AA163" s="540"/>
      <c r="AB163" s="540"/>
      <c r="AC163" s="540"/>
      <c r="AD163" s="540"/>
      <c r="AE163" s="540"/>
      <c r="AF163" s="540"/>
      <c r="AG163" s="540"/>
      <c r="AH163" s="540"/>
      <c r="AI163" s="540"/>
      <c r="AJ163" s="540"/>
      <c r="AK163" s="540"/>
      <c r="AL163" s="540"/>
      <c r="AM163" s="540"/>
      <c r="AN163" s="540"/>
      <c r="AO163" s="540"/>
      <c r="AP163" s="540"/>
      <c r="AQ163" s="540"/>
      <c r="AR163" s="540"/>
      <c r="AS163" s="540"/>
      <c r="AT163" s="540"/>
      <c r="AU163" s="540"/>
      <c r="AV163" s="540"/>
      <c r="AW163" s="540"/>
      <c r="AX163" s="540"/>
      <c r="AY163" s="540"/>
      <c r="AZ163" s="540"/>
      <c r="BA163" s="540"/>
      <c r="BB163" s="540"/>
      <c r="BC163" s="540"/>
      <c r="BD163" s="540"/>
      <c r="BE163" s="540"/>
      <c r="BF163" s="540"/>
      <c r="BG163" s="540"/>
      <c r="BH163" s="540"/>
      <c r="BI163" s="540"/>
      <c r="BJ163" s="540"/>
      <c r="BK163" s="540"/>
      <c r="BL163" s="540"/>
      <c r="BM163" s="540"/>
      <c r="BN163" s="540"/>
      <c r="BO163" s="540"/>
      <c r="BP163" s="540"/>
      <c r="BQ163" s="540"/>
      <c r="BR163" s="540"/>
      <c r="BS163" s="540"/>
      <c r="BT163" s="540"/>
      <c r="BU163" s="540"/>
      <c r="BV163" s="540"/>
      <c r="BW163" s="540"/>
      <c r="BX163" s="540"/>
      <c r="BY163" s="540"/>
      <c r="BZ163" s="540"/>
      <c r="CA163" s="540"/>
      <c r="CB163" s="540"/>
      <c r="CC163" s="540"/>
      <c r="CD163" s="540"/>
      <c r="CE163" s="540"/>
      <c r="CF163" s="540"/>
      <c r="CG163" s="540"/>
      <c r="CH163" s="540"/>
    </row>
    <row r="164" spans="1:86" ht="15" thickTop="1">
      <c r="H164" s="126"/>
      <c r="K164" s="126"/>
      <c r="L164" s="126"/>
      <c r="M164" s="126"/>
      <c r="N164" s="126"/>
      <c r="O164" s="126"/>
      <c r="P164" s="126"/>
      <c r="Q164" s="126"/>
      <c r="V164" s="1785">
        <f t="shared" si="44"/>
        <v>0</v>
      </c>
    </row>
    <row r="165" spans="1:86" s="557" customFormat="1" ht="13.9" customHeight="1">
      <c r="A165" s="1056" t="s">
        <v>759</v>
      </c>
      <c r="B165" s="1934" t="s">
        <v>760</v>
      </c>
      <c r="C165" s="607" t="s">
        <v>761</v>
      </c>
      <c r="D165" s="538" t="str">
        <f>VLOOKUP(G165,'Baumaterialien Matériaux'!$A$10:$AD$432,30,FALSE)</f>
        <v>Bois massif épicéa / sapin / mélèze, séché à l'air, brut</v>
      </c>
      <c r="E165" s="1785"/>
      <c r="F165" s="538" t="str">
        <f>VLOOKUP(G165,'Baumaterialien Matériaux'!$A$10:$AD$432,7,FALSE)</f>
        <v>kg</v>
      </c>
      <c r="G165" s="568" t="s">
        <v>619</v>
      </c>
      <c r="H165" s="539">
        <f>1/0.6*0.06*0.06+1/0.35*0.024*0.048*485</f>
        <v>1.6023428571428571</v>
      </c>
      <c r="I165" s="538"/>
      <c r="J165" s="538">
        <v>40</v>
      </c>
      <c r="K165" s="539">
        <f>$H165*_xlfn.XLOOKUP($G165,'Baumaterialien Matériaux'!$A:$A,'Baumaterialien Matériaux'!V:V,0,0)</f>
        <v>0.67458634285714281</v>
      </c>
      <c r="L165" s="539">
        <f>$H165*_xlfn.XLOOKUP($G165,'Baumaterialien Matériaux'!$A:$A,'Baumaterialien Matériaux'!Y:Y,0,0)</f>
        <v>0.14228804571428572</v>
      </c>
      <c r="M165" s="539">
        <f>$H165*_xlfn.XLOOKUP($G165,'Baumaterialien Matériaux'!$A:$A,'Baumaterialien Matériaux'!AA:AA,0,0)</f>
        <v>0.14485179428571426</v>
      </c>
      <c r="N165" s="539">
        <f>$H165*_xlfn.XLOOKUP($G165,'Baumaterialien Matériaux'!$A:$A,'Baumaterialien Matériaux'!AB:AB,0,0)</f>
        <v>6.2491371428571425E-2</v>
      </c>
      <c r="O165" s="539">
        <f>$H165*_xlfn.XLOOKUP($G165,'Baumaterialien Matériaux'!$A:$A,'Baumaterialien Matériaux'!AC:AC,0,0)*44/12</f>
        <v>2.4264811999999996</v>
      </c>
      <c r="P165" s="539">
        <f>$H165*_xlfn.XLOOKUP($G165,'Baumaterialien Matériaux'!$A:$A,'Baumaterialien Matériaux'!AG:AG,0,0)</f>
        <v>0</v>
      </c>
      <c r="Q165" s="539">
        <f>$H165*_xlfn.XLOOKUP($G165,'Baumaterialien Matériaux'!$A:$A,'Baumaterialien Matériaux'!AH:AH,0,0)</f>
        <v>0</v>
      </c>
      <c r="R165" s="540"/>
      <c r="S165" s="540"/>
      <c r="T165" s="540"/>
      <c r="U165" s="540"/>
      <c r="V165" s="1785">
        <f t="shared" si="44"/>
        <v>0</v>
      </c>
      <c r="W165" s="540"/>
      <c r="X165" s="540"/>
      <c r="Y165" s="540"/>
      <c r="Z165" s="540"/>
      <c r="AA165" s="540"/>
      <c r="AB165" s="540"/>
      <c r="AC165" s="540"/>
      <c r="AD165" s="540"/>
      <c r="AE165" s="540"/>
      <c r="AF165" s="540"/>
      <c r="AG165" s="540"/>
      <c r="AH165" s="540"/>
      <c r="AI165" s="540"/>
      <c r="AJ165" s="540"/>
      <c r="AK165" s="540"/>
      <c r="AL165" s="540"/>
      <c r="AM165" s="540"/>
      <c r="AN165" s="540"/>
      <c r="AO165" s="540"/>
      <c r="AP165" s="540"/>
      <c r="AQ165" s="540"/>
      <c r="AR165" s="540"/>
      <c r="AS165" s="540"/>
      <c r="AT165" s="540"/>
      <c r="AU165" s="540"/>
      <c r="AV165" s="540"/>
      <c r="AW165" s="540"/>
      <c r="AX165" s="540"/>
      <c r="AY165" s="540"/>
      <c r="AZ165" s="540"/>
      <c r="BA165" s="540"/>
      <c r="BB165" s="540"/>
      <c r="BC165" s="540"/>
      <c r="BD165" s="540"/>
      <c r="BE165" s="540"/>
      <c r="BF165" s="540"/>
      <c r="BG165" s="540"/>
      <c r="BH165" s="540"/>
      <c r="BI165" s="540"/>
      <c r="BJ165" s="540"/>
      <c r="BK165" s="540"/>
      <c r="BL165" s="540"/>
      <c r="BM165" s="540"/>
      <c r="BN165" s="540"/>
      <c r="BO165" s="540"/>
      <c r="BP165" s="540"/>
      <c r="BQ165" s="540"/>
      <c r="BR165" s="540"/>
      <c r="BS165" s="540"/>
      <c r="BT165" s="540"/>
      <c r="BU165" s="540"/>
      <c r="BV165" s="540"/>
      <c r="BW165" s="540"/>
      <c r="BX165" s="540"/>
      <c r="BY165" s="540"/>
      <c r="BZ165" s="540"/>
      <c r="CA165" s="540"/>
      <c r="CB165" s="540"/>
      <c r="CC165" s="540"/>
      <c r="CD165" s="540"/>
      <c r="CE165" s="540"/>
      <c r="CF165" s="540"/>
      <c r="CG165" s="540"/>
      <c r="CH165" s="540"/>
    </row>
    <row r="166" spans="1:86" s="540" customFormat="1">
      <c r="B166" s="1934"/>
      <c r="C166" s="607" t="s">
        <v>762</v>
      </c>
      <c r="D166" s="538" t="str">
        <f>VLOOKUP(G166,'Baumaterialien Matériaux'!$A$10:$AD$432,30,FALSE)</f>
        <v>Voile de polyéthylène (PE)</v>
      </c>
      <c r="E166" s="1785"/>
      <c r="F166" s="538" t="str">
        <f>VLOOKUP(G166,'Baumaterialien Matériaux'!$A$10:$AD$432,7,FALSE)</f>
        <v>kg</v>
      </c>
      <c r="G166" s="546" t="s">
        <v>600</v>
      </c>
      <c r="H166" s="539">
        <v>0.14000000000000001</v>
      </c>
      <c r="I166" s="538"/>
      <c r="J166" s="538">
        <v>40</v>
      </c>
      <c r="K166" s="539">
        <f>$H166*_xlfn.XLOOKUP($G166,'Baumaterialien Matériaux'!$A:$A,'Baumaterialien Matériaux'!V:V,0,0)</f>
        <v>3.5980000000000003</v>
      </c>
      <c r="L166" s="539">
        <f>$H166*_xlfn.XLOOKUP($G166,'Baumaterialien Matériaux'!$A:$A,'Baumaterialien Matériaux'!Y:Y,0,0)</f>
        <v>2.9260000000000001E-2</v>
      </c>
      <c r="M166" s="539">
        <f>$H166*_xlfn.XLOOKUP($G166,'Baumaterialien Matériaux'!$A:$A,'Baumaterialien Matériaux'!AA:AA,0,0)</f>
        <v>0.41440000000000005</v>
      </c>
      <c r="N166" s="539">
        <f>$H166*_xlfn.XLOOKUP($G166,'Baumaterialien Matériaux'!$A:$A,'Baumaterialien Matériaux'!AB:AB,0,0)</f>
        <v>0.37380000000000002</v>
      </c>
      <c r="O166" s="539">
        <f>$H166*_xlfn.XLOOKUP($G166,'Baumaterialien Matériaux'!$A:$A,'Baumaterialien Matériaux'!AC:AC,0,0)*44/12</f>
        <v>0</v>
      </c>
      <c r="P166" s="539">
        <f>$H166*_xlfn.XLOOKUP($G166,'Baumaterialien Matériaux'!$A:$A,'Baumaterialien Matériaux'!AG:AG,0,0)</f>
        <v>0</v>
      </c>
      <c r="Q166" s="539">
        <f>$H166*_xlfn.XLOOKUP($G166,'Baumaterialien Matériaux'!$A:$A,'Baumaterialien Matériaux'!AH:AH,0,0)</f>
        <v>0</v>
      </c>
      <c r="V166" s="1785">
        <f t="shared" si="44"/>
        <v>0</v>
      </c>
    </row>
    <row r="167" spans="1:86" s="540" customFormat="1">
      <c r="B167" s="1934"/>
      <c r="C167" s="607" t="s">
        <v>763</v>
      </c>
      <c r="D167" s="538" t="str">
        <f>VLOOKUP(G167,'Baumaterialien Matériaux'!$A$10:$AD$432,30,FALSE)</f>
        <v>Tuile en terre cuite</v>
      </c>
      <c r="E167" s="1785"/>
      <c r="F167" s="538" t="str">
        <f>VLOOKUP(G167,'Baumaterialien Matériaux'!$A$10:$AD$432,7,FALSE)</f>
        <v>kg</v>
      </c>
      <c r="G167" s="568" t="s">
        <v>663</v>
      </c>
      <c r="H167" s="539">
        <v>50</v>
      </c>
      <c r="I167" s="538"/>
      <c r="J167" s="538">
        <v>40</v>
      </c>
      <c r="K167" s="539">
        <f>$H167*_xlfn.XLOOKUP($G167,'Baumaterialien Matériaux'!$A:$A,'Baumaterialien Matériaux'!V:V,0,0)</f>
        <v>53</v>
      </c>
      <c r="L167" s="539">
        <f>$H167*_xlfn.XLOOKUP($G167,'Baumaterialien Matériaux'!$A:$A,'Baumaterialien Matériaux'!Y:Y,0,0)</f>
        <v>2.6</v>
      </c>
      <c r="M167" s="539">
        <f>$H167*_xlfn.XLOOKUP($G167,'Baumaterialien Matériaux'!$A:$A,'Baumaterialien Matériaux'!AA:AA,0,0)</f>
        <v>18.649999999999999</v>
      </c>
      <c r="N167" s="539">
        <f>$H167*_xlfn.XLOOKUP($G167,'Baumaterialien Matériaux'!$A:$A,'Baumaterialien Matériaux'!AB:AB,0,0)</f>
        <v>0.63500000000000001</v>
      </c>
      <c r="O167" s="539">
        <f>$H167*_xlfn.XLOOKUP($G167,'Baumaterialien Matériaux'!$A:$A,'Baumaterialien Matériaux'!AC:AC,0,0)*44/12</f>
        <v>0</v>
      </c>
      <c r="P167" s="539">
        <f>$H167*_xlfn.XLOOKUP($G167,'Baumaterialien Matériaux'!$A:$A,'Baumaterialien Matériaux'!AG:AG,0,0)</f>
        <v>0</v>
      </c>
      <c r="Q167" s="539">
        <f>$H167*_xlfn.XLOOKUP($G167,'Baumaterialien Matériaux'!$A:$A,'Baumaterialien Matériaux'!AH:AH,0,0)</f>
        <v>0</v>
      </c>
      <c r="V167" s="1785">
        <f t="shared" si="44"/>
        <v>0</v>
      </c>
    </row>
    <row r="168" spans="1:86" s="540" customFormat="1">
      <c r="B168" s="1934"/>
      <c r="C168" s="607" t="s">
        <v>764</v>
      </c>
      <c r="D168" s="538" t="str">
        <f>VLOOKUP(G168,'Baumaterialien Matériaux'!$A$10:$AD$432,30,FALSE)</f>
        <v>Tôle d'acier, zinguée</v>
      </c>
      <c r="E168" s="1785"/>
      <c r="F168" s="538" t="str">
        <f>VLOOKUP(G168,'Baumaterialien Matériaux'!$A$10:$AD$432,7,FALSE)</f>
        <v>kg</v>
      </c>
      <c r="G168" s="568" t="s">
        <v>657</v>
      </c>
      <c r="H168" s="539">
        <f>2.2*3.14*0.0035^2*0.33*7850</f>
        <v>0.21921588150000007</v>
      </c>
      <c r="I168" s="538"/>
      <c r="J168" s="538">
        <v>40</v>
      </c>
      <c r="K168" s="539">
        <f>$H168*_xlfn.XLOOKUP($G168,'Baumaterialien Matériaux'!$A:$A,'Baumaterialien Matériaux'!V:V,0,0)</f>
        <v>3.4197677514000011</v>
      </c>
      <c r="L168" s="539">
        <f>$H168*_xlfn.XLOOKUP($G168,'Baumaterialien Matériaux'!$A:$A,'Baumaterialien Matériaux'!Y:Y,0,0)</f>
        <v>5.9626719768000012E-3</v>
      </c>
      <c r="M168" s="539">
        <f>$H168*_xlfn.XLOOKUP($G168,'Baumaterialien Matériaux'!$A:$A,'Baumaterialien Matériaux'!AA:AA,0,0)</f>
        <v>0.98208714912000039</v>
      </c>
      <c r="N168" s="539">
        <f>$H168*_xlfn.XLOOKUP($G168,'Baumaterialien Matériaux'!$A:$A,'Baumaterialien Matériaux'!AB:AB,0,0)</f>
        <v>1.5191660587950005E-3</v>
      </c>
      <c r="O168" s="539">
        <f>$H168*_xlfn.XLOOKUP($G168,'Baumaterialien Matériaux'!$A:$A,'Baumaterialien Matériaux'!AC:AC,0,0)*44/12</f>
        <v>0</v>
      </c>
      <c r="P168" s="539">
        <f>$H168*_xlfn.XLOOKUP($G168,'Baumaterialien Matériaux'!$A:$A,'Baumaterialien Matériaux'!AG:AG,0,0)</f>
        <v>0</v>
      </c>
      <c r="Q168" s="539">
        <f>$H168*_xlfn.XLOOKUP($G168,'Baumaterialien Matériaux'!$A:$A,'Baumaterialien Matériaux'!AH:AH,0,0)</f>
        <v>0</v>
      </c>
      <c r="V168" s="1785">
        <f t="shared" si="44"/>
        <v>0</v>
      </c>
    </row>
    <row r="169" spans="1:86" s="540" customFormat="1">
      <c r="B169" s="1934"/>
      <c r="C169" s="607" t="s">
        <v>765</v>
      </c>
      <c r="D169" s="538" t="str">
        <f>VLOOKUP(G169,'Baumaterialien Matériaux'!$A$10:$AD$432,30,FALSE)</f>
        <v>Feuille de polyéthylène (PE)</v>
      </c>
      <c r="E169" s="1785"/>
      <c r="F169" s="538" t="str">
        <f>VLOOKUP(G169,'Baumaterialien Matériaux'!$A$10:$AD$432,7,FALSE)</f>
        <v>kg</v>
      </c>
      <c r="G169" s="568" t="s">
        <v>766</v>
      </c>
      <c r="H169" s="539">
        <v>0.18</v>
      </c>
      <c r="I169" s="538"/>
      <c r="J169" s="538">
        <v>40</v>
      </c>
      <c r="K169" s="539">
        <f>$H169*_xlfn.XLOOKUP($G169,'Baumaterialien Matériaux'!$A:$A,'Baumaterialien Matériaux'!V:V,0,0)</f>
        <v>4.4279999999999999</v>
      </c>
      <c r="L169" s="539">
        <f>$H169*_xlfn.XLOOKUP($G169,'Baumaterialien Matériaux'!$A:$A,'Baumaterialien Matériaux'!Y:Y,0,0)</f>
        <v>3.7619999999999994E-2</v>
      </c>
      <c r="M169" s="539">
        <f>$H169*_xlfn.XLOOKUP($G169,'Baumaterialien Matériaux'!$A:$A,'Baumaterialien Matériaux'!AA:AA,0,0)</f>
        <v>0.495</v>
      </c>
      <c r="N169" s="539">
        <f>$H169*_xlfn.XLOOKUP($G169,'Baumaterialien Matériaux'!$A:$A,'Baumaterialien Matériaux'!AB:AB,0,0)</f>
        <v>0.48059999999999997</v>
      </c>
      <c r="O169" s="539">
        <f>$H169*_xlfn.XLOOKUP($G169,'Baumaterialien Matériaux'!$A:$A,'Baumaterialien Matériaux'!AC:AC,0,0)*44/12</f>
        <v>0</v>
      </c>
      <c r="P169" s="539">
        <f>$H169*_xlfn.XLOOKUP($G169,'Baumaterialien Matériaux'!$A:$A,'Baumaterialien Matériaux'!AG:AG,0,0)</f>
        <v>0</v>
      </c>
      <c r="Q169" s="539">
        <f>$H169*_xlfn.XLOOKUP($G169,'Baumaterialien Matériaux'!$A:$A,'Baumaterialien Matériaux'!AH:AH,0,0)</f>
        <v>0</v>
      </c>
      <c r="V169" s="1785">
        <f t="shared" si="44"/>
        <v>0</v>
      </c>
    </row>
    <row r="170" spans="1:86" s="577" customFormat="1" ht="15.75" thickBot="1">
      <c r="B170" s="588"/>
      <c r="C170" s="610"/>
      <c r="G170" s="579"/>
      <c r="H170" s="609"/>
      <c r="J170" s="589">
        <v>40</v>
      </c>
      <c r="K170" s="581">
        <f t="shared" ref="K170:L170" si="57">SUM(K165:K169)</f>
        <v>65.120354094257152</v>
      </c>
      <c r="L170" s="581">
        <f t="shared" si="57"/>
        <v>2.8151307176910856</v>
      </c>
      <c r="M170" s="581">
        <f>SUM(M165:M169)</f>
        <v>20.686338943405715</v>
      </c>
      <c r="N170" s="581">
        <f>SUM(N165:N169)</f>
        <v>1.5534105374873663</v>
      </c>
      <c r="O170" s="581">
        <f>SUM(O165:O169)</f>
        <v>2.4264811999999996</v>
      </c>
      <c r="P170" s="581">
        <f>SUM(P165:P169)</f>
        <v>0</v>
      </c>
      <c r="Q170" s="581">
        <f>SUM(Q165:Q169)</f>
        <v>0</v>
      </c>
      <c r="R170" s="540"/>
      <c r="S170" s="540">
        <f>(M170+N170)/J169</f>
        <v>0.55599373702232702</v>
      </c>
      <c r="T170" s="540">
        <v>1</v>
      </c>
      <c r="U170" s="540"/>
      <c r="V170" s="1785">
        <f t="shared" si="44"/>
        <v>0</v>
      </c>
      <c r="W170" s="540"/>
      <c r="X170" s="540"/>
      <c r="Y170" s="540"/>
      <c r="Z170" s="540"/>
      <c r="AA170" s="540"/>
      <c r="AB170" s="540"/>
      <c r="AC170" s="540"/>
      <c r="AD170" s="540"/>
      <c r="AE170" s="540"/>
      <c r="AF170" s="540"/>
      <c r="AG170" s="540"/>
      <c r="AH170" s="540"/>
      <c r="AI170" s="540"/>
      <c r="AJ170" s="540"/>
      <c r="AK170" s="540"/>
      <c r="AL170" s="540"/>
      <c r="AM170" s="540"/>
      <c r="AN170" s="540"/>
      <c r="AO170" s="540"/>
      <c r="AP170" s="540"/>
      <c r="AQ170" s="540"/>
      <c r="AR170" s="540"/>
      <c r="AS170" s="540"/>
      <c r="AT170" s="540"/>
      <c r="AU170" s="540"/>
      <c r="AV170" s="540"/>
      <c r="AW170" s="540"/>
      <c r="AX170" s="540"/>
      <c r="AY170" s="540"/>
      <c r="AZ170" s="540"/>
      <c r="BA170" s="540"/>
      <c r="BB170" s="540"/>
      <c r="BC170" s="540"/>
      <c r="BD170" s="540"/>
      <c r="BE170" s="540"/>
      <c r="BF170" s="540"/>
      <c r="BG170" s="540"/>
      <c r="BH170" s="540"/>
      <c r="BI170" s="540"/>
      <c r="BJ170" s="540"/>
      <c r="BK170" s="540"/>
      <c r="BL170" s="540"/>
      <c r="BM170" s="540"/>
      <c r="BN170" s="540"/>
      <c r="BO170" s="540"/>
      <c r="BP170" s="540"/>
      <c r="BQ170" s="540"/>
      <c r="BR170" s="540"/>
      <c r="BS170" s="540"/>
      <c r="BT170" s="540"/>
      <c r="BU170" s="540"/>
      <c r="BV170" s="540"/>
      <c r="BW170" s="540"/>
      <c r="BX170" s="540"/>
      <c r="BY170" s="540"/>
      <c r="BZ170" s="540"/>
      <c r="CA170" s="540"/>
      <c r="CB170" s="540"/>
      <c r="CC170" s="540"/>
      <c r="CD170" s="540"/>
      <c r="CE170" s="540"/>
      <c r="CF170" s="540"/>
      <c r="CG170" s="540"/>
      <c r="CH170" s="540"/>
    </row>
    <row r="171" spans="1:86" s="572" customFormat="1" ht="16.5" thickTop="1" thickBot="1">
      <c r="A171" s="590"/>
      <c r="B171" s="595"/>
      <c r="G171" s="573"/>
      <c r="H171" s="593"/>
      <c r="J171" s="586"/>
      <c r="K171" s="574"/>
      <c r="L171" s="574"/>
      <c r="M171" s="574"/>
      <c r="N171" s="574"/>
      <c r="O171" s="574"/>
      <c r="P171" s="574"/>
      <c r="Q171" s="574"/>
      <c r="R171" s="3"/>
      <c r="S171" s="3"/>
      <c r="T171" s="3"/>
      <c r="U171" s="3"/>
      <c r="V171" s="1785">
        <f t="shared" si="44"/>
        <v>0</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row>
    <row r="172" spans="1:86" s="582" customFormat="1" ht="15" thickTop="1">
      <c r="A172" s="1096" t="s">
        <v>767</v>
      </c>
      <c r="B172" s="1941" t="s">
        <v>768</v>
      </c>
      <c r="C172" s="163" t="s">
        <v>604</v>
      </c>
      <c r="D172" s="163" t="str">
        <f>VLOOKUP(G172,'Baumaterialien Matériaux'!$A$10:$AD$432,30,FALSE)</f>
        <v>Émulsion de bitume, 1 couche</v>
      </c>
      <c r="E172" s="1409"/>
      <c r="F172" s="163" t="str">
        <f>VLOOKUP(G172,'Baumaterialien Matériaux'!$A$10:$AD$432,7,FALSE)</f>
        <v>m2</v>
      </c>
      <c r="G172" s="596" t="s">
        <v>576</v>
      </c>
      <c r="H172" s="259">
        <v>1</v>
      </c>
      <c r="I172" s="163"/>
      <c r="J172" s="591">
        <v>30</v>
      </c>
      <c r="K172" s="850">
        <f>$H172*_xlfn.XLOOKUP($G172,'Baumaterialien Matériaux'!$A:$A,'Baumaterialien Matériaux'!V:V,0,0)</f>
        <v>1.84</v>
      </c>
      <c r="L172" s="850">
        <f>$H172*_xlfn.XLOOKUP($G172,'Baumaterialien Matériaux'!$A:$A,'Baumaterialien Matériaux'!Y:Y,0,0)</f>
        <v>1.4E-2</v>
      </c>
      <c r="M172" s="850">
        <f>$H172*_xlfn.XLOOKUP($G172,'Baumaterialien Matériaux'!$A:$A,'Baumaterialien Matériaux'!AA:AA,0,0)</f>
        <v>0.13400000000000001</v>
      </c>
      <c r="N172" s="850">
        <f>$H172*_xlfn.XLOOKUP($G172,'Baumaterialien Matériaux'!$A:$A,'Baumaterialien Matériaux'!AB:AB,0,0)</f>
        <v>4.6800000000000001E-2</v>
      </c>
      <c r="O172" s="850">
        <f>$H172*_xlfn.XLOOKUP($G172,'Baumaterialien Matériaux'!$A:$A,'Baumaterialien Matériaux'!AC:AC,0,0)*44/12</f>
        <v>0</v>
      </c>
      <c r="P172" s="850">
        <f>$H172*_xlfn.XLOOKUP($G172,'Baumaterialien Matériaux'!$A:$A,'Baumaterialien Matériaux'!AG:AG,0,0)</f>
        <v>0</v>
      </c>
      <c r="Q172" s="850">
        <f>$H172*_xlfn.XLOOKUP($G172,'Baumaterialien Matériaux'!$A:$A,'Baumaterialien Matériaux'!AH:AH,0,0)</f>
        <v>0</v>
      </c>
      <c r="R172" s="159"/>
      <c r="S172" s="159"/>
      <c r="T172" s="159"/>
      <c r="U172" s="159"/>
      <c r="V172" s="1785">
        <f t="shared" si="44"/>
        <v>0</v>
      </c>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59"/>
      <c r="AY172" s="159"/>
      <c r="AZ172" s="159"/>
      <c r="BA172" s="159"/>
      <c r="BB172" s="159"/>
      <c r="BC172" s="159"/>
      <c r="BD172" s="159"/>
      <c r="BE172" s="159"/>
      <c r="BF172" s="159"/>
      <c r="BG172" s="159"/>
      <c r="BH172" s="159"/>
      <c r="BI172" s="159"/>
      <c r="BJ172" s="159"/>
      <c r="BK172" s="159"/>
      <c r="BL172" s="159"/>
      <c r="BM172" s="159"/>
      <c r="BN172" s="159"/>
      <c r="BO172" s="159"/>
      <c r="BP172" s="159"/>
      <c r="BQ172" s="159"/>
      <c r="BR172" s="159"/>
      <c r="BS172" s="159"/>
      <c r="BT172" s="159"/>
      <c r="BU172" s="159"/>
      <c r="BV172" s="159"/>
      <c r="BW172" s="159"/>
      <c r="BX172" s="159"/>
      <c r="BY172" s="159"/>
      <c r="BZ172" s="159"/>
      <c r="CA172" s="159"/>
      <c r="CB172" s="159"/>
      <c r="CC172" s="159"/>
      <c r="CD172" s="159"/>
      <c r="CE172" s="159"/>
      <c r="CF172" s="159"/>
      <c r="CG172" s="159"/>
      <c r="CH172" s="159"/>
    </row>
    <row r="173" spans="1:86" s="159" customFormat="1">
      <c r="B173" s="1941"/>
      <c r="C173" s="163" t="s">
        <v>769</v>
      </c>
      <c r="D173" s="163" t="str">
        <f>VLOOKUP(G173,'Baumaterialien Matériaux'!$A$10:$AD$432,30,FALSE)</f>
        <v>Lé d'étanchéité bitumineux</v>
      </c>
      <c r="E173" s="1409"/>
      <c r="F173" s="163" t="str">
        <f>VLOOKUP(G173,'Baumaterialien Matériaux'!$A$10:$AD$432,7,FALSE)</f>
        <v>kg</v>
      </c>
      <c r="G173" s="596" t="s">
        <v>755</v>
      </c>
      <c r="H173" s="259">
        <f>2*5.2</f>
        <v>10.4</v>
      </c>
      <c r="I173" s="163"/>
      <c r="J173" s="591">
        <v>30</v>
      </c>
      <c r="K173" s="850">
        <f>$H173*_xlfn.XLOOKUP($G173,'Baumaterialien Matériaux'!$A:$A,'Baumaterialien Matériaux'!V:V,0,0)</f>
        <v>124.80000000000001</v>
      </c>
      <c r="L173" s="850">
        <f>$H173*_xlfn.XLOOKUP($G173,'Baumaterialien Matériaux'!$A:$A,'Baumaterialien Matériaux'!Y:Y,0,0)</f>
        <v>2.7664000000000004</v>
      </c>
      <c r="M173" s="850">
        <f>$H173*_xlfn.XLOOKUP($G173,'Baumaterialien Matériaux'!$A:$A,'Baumaterialien Matériaux'!AA:AA,0,0)</f>
        <v>10.4</v>
      </c>
      <c r="N173" s="850">
        <f>$H173*_xlfn.XLOOKUP($G173,'Baumaterialien Matériaux'!$A:$A,'Baumaterialien Matériaux'!AB:AB,0,0)</f>
        <v>24.232000000000003</v>
      </c>
      <c r="O173" s="850">
        <f>$H173*_xlfn.XLOOKUP($G173,'Baumaterialien Matériaux'!$A:$A,'Baumaterialien Matériaux'!AC:AC,0,0)*44/12</f>
        <v>0</v>
      </c>
      <c r="P173" s="850">
        <f>$H173*_xlfn.XLOOKUP($G173,'Baumaterialien Matériaux'!$A:$A,'Baumaterialien Matériaux'!AG:AG,0,0)</f>
        <v>0</v>
      </c>
      <c r="Q173" s="850">
        <f>$H173*_xlfn.XLOOKUP($G173,'Baumaterialien Matériaux'!$A:$A,'Baumaterialien Matériaux'!AH:AH,0,0)</f>
        <v>0</v>
      </c>
      <c r="V173" s="1785">
        <f t="shared" si="44"/>
        <v>0</v>
      </c>
    </row>
    <row r="174" spans="1:86" s="159" customFormat="1">
      <c r="B174" s="1941"/>
      <c r="C174" s="163" t="s">
        <v>756</v>
      </c>
      <c r="D174" s="163" t="str">
        <f>VLOOKUP(G174,'Baumaterialien Matériaux'!$A$10:$AD$432,30,FALSE)</f>
        <v>Voile de polyéthylène (PE)</v>
      </c>
      <c r="E174" s="1409"/>
      <c r="F174" s="163" t="str">
        <f>VLOOKUP(G174,'Baumaterialien Matériaux'!$A$10:$AD$432,7,FALSE)</f>
        <v>kg</v>
      </c>
      <c r="G174" s="281" t="s">
        <v>600</v>
      </c>
      <c r="H174" s="259">
        <v>0.14000000000000001</v>
      </c>
      <c r="I174" s="163"/>
      <c r="J174" s="591">
        <v>30</v>
      </c>
      <c r="K174" s="850">
        <f>$H174*_xlfn.XLOOKUP($G174,'Baumaterialien Matériaux'!$A:$A,'Baumaterialien Matériaux'!V:V,0,0)</f>
        <v>3.5980000000000003</v>
      </c>
      <c r="L174" s="850">
        <f>$H174*_xlfn.XLOOKUP($G174,'Baumaterialien Matériaux'!$A:$A,'Baumaterialien Matériaux'!Y:Y,0,0)</f>
        <v>2.9260000000000001E-2</v>
      </c>
      <c r="M174" s="850">
        <f>$H174*_xlfn.XLOOKUP($G174,'Baumaterialien Matériaux'!$A:$A,'Baumaterialien Matériaux'!AA:AA,0,0)</f>
        <v>0.41440000000000005</v>
      </c>
      <c r="N174" s="850">
        <f>$H174*_xlfn.XLOOKUP($G174,'Baumaterialien Matériaux'!$A:$A,'Baumaterialien Matériaux'!AB:AB,0,0)</f>
        <v>0.37380000000000002</v>
      </c>
      <c r="O174" s="850">
        <f>$H174*_xlfn.XLOOKUP($G174,'Baumaterialien Matériaux'!$A:$A,'Baumaterialien Matériaux'!AC:AC,0,0)*44/12</f>
        <v>0</v>
      </c>
      <c r="P174" s="850">
        <f>$H174*_xlfn.XLOOKUP($G174,'Baumaterialien Matériaux'!$A:$A,'Baumaterialien Matériaux'!AG:AG,0,0)</f>
        <v>0</v>
      </c>
      <c r="Q174" s="850">
        <f>$H174*_xlfn.XLOOKUP($G174,'Baumaterialien Matériaux'!$A:$A,'Baumaterialien Matériaux'!AH:AH,0,0)</f>
        <v>0</v>
      </c>
      <c r="V174" s="1785">
        <f t="shared" si="44"/>
        <v>0</v>
      </c>
    </row>
    <row r="175" spans="1:86" s="159" customFormat="1">
      <c r="B175" s="1941"/>
      <c r="C175" s="163" t="s">
        <v>601</v>
      </c>
      <c r="D175" s="163" t="str">
        <f>VLOOKUP(G175,'Baumaterialien Matériaux'!$A$10:$AD$432,30,FALSE)</f>
        <v>Gravier rond 1</v>
      </c>
      <c r="E175" s="1409"/>
      <c r="F175" s="163" t="str">
        <f>VLOOKUP(G175,'Baumaterialien Matériaux'!$A$10:$AD$432,7,FALSE)</f>
        <v>kg</v>
      </c>
      <c r="G175" s="597" t="s">
        <v>602</v>
      </c>
      <c r="H175" s="259">
        <f>1500*0.03</f>
        <v>45</v>
      </c>
      <c r="I175" s="163"/>
      <c r="J175" s="591">
        <v>30</v>
      </c>
      <c r="K175" s="850">
        <f>$H175*_xlfn.XLOOKUP($G175,'Baumaterialien Matériaux'!$A:$A,'Baumaterialien Matériaux'!V:V,0,0)</f>
        <v>0.70199999999999996</v>
      </c>
      <c r="L175" s="850">
        <f>$H175*_xlfn.XLOOKUP($G175,'Baumaterialien Matériaux'!$A:$A,'Baumaterialien Matériaux'!Y:Y,0,0)</f>
        <v>2.367</v>
      </c>
      <c r="M175" s="850">
        <f>$H175*_xlfn.XLOOKUP($G175,'Baumaterialien Matériaux'!$A:$A,'Baumaterialien Matériaux'!AA:AA,0,0)</f>
        <v>0.13725000000000001</v>
      </c>
      <c r="N175" s="850">
        <f>$H175*_xlfn.XLOOKUP($G175,'Baumaterialien Matériaux'!$A:$A,'Baumaterialien Matériaux'!AB:AB,0,0)</f>
        <v>0.56699999999999995</v>
      </c>
      <c r="O175" s="850">
        <f>$H175*_xlfn.XLOOKUP($G175,'Baumaterialien Matériaux'!$A:$A,'Baumaterialien Matériaux'!AC:AC,0,0)*44/12</f>
        <v>0</v>
      </c>
      <c r="P175" s="850">
        <f>$H175*_xlfn.XLOOKUP($G175,'Baumaterialien Matériaux'!$A:$A,'Baumaterialien Matériaux'!AG:AG,0,0)</f>
        <v>0</v>
      </c>
      <c r="Q175" s="850">
        <f>$H175*_xlfn.XLOOKUP($G175,'Baumaterialien Matériaux'!$A:$A,'Baumaterialien Matériaux'!AH:AH,0,0)</f>
        <v>0</v>
      </c>
      <c r="V175" s="1785">
        <f t="shared" si="44"/>
        <v>0</v>
      </c>
    </row>
    <row r="176" spans="1:86" s="159" customFormat="1">
      <c r="B176" s="1941"/>
      <c r="C176" s="163" t="s">
        <v>757</v>
      </c>
      <c r="D176" s="163" t="str">
        <f>VLOOKUP(G176,'Baumaterialien Matériaux'!$A$10:$AD$432,30,FALSE)</f>
        <v>Sable 1</v>
      </c>
      <c r="E176" s="1409"/>
      <c r="F176" s="163" t="str">
        <f>VLOOKUP(G176,'Baumaterialien Matériaux'!$A$10:$AD$432,7,FALSE)</f>
        <v>kg</v>
      </c>
      <c r="G176" s="596" t="s">
        <v>758</v>
      </c>
      <c r="H176" s="259">
        <f>0.07*1000</f>
        <v>70</v>
      </c>
      <c r="I176" s="163"/>
      <c r="J176" s="591">
        <v>30</v>
      </c>
      <c r="K176" s="850">
        <f>$H176*_xlfn.XLOOKUP($G176,'Baumaterialien Matériaux'!$A:$A,'Baumaterialien Matériaux'!V:V,0,0)</f>
        <v>1.0919999999999999</v>
      </c>
      <c r="L176" s="850">
        <f>$H176*_xlfn.XLOOKUP($G176,'Baumaterialien Matériaux'!$A:$A,'Baumaterialien Matériaux'!Y:Y,0,0)</f>
        <v>3.6819999999999999</v>
      </c>
      <c r="M176" s="850">
        <f>$H176*_xlfn.XLOOKUP($G176,'Baumaterialien Matériaux'!$A:$A,'Baumaterialien Matériaux'!AA:AA,0,0)</f>
        <v>0.21350000000000002</v>
      </c>
      <c r="N176" s="850">
        <f>$H176*_xlfn.XLOOKUP($G176,'Baumaterialien Matériaux'!$A:$A,'Baumaterialien Matériaux'!AB:AB,0,0)</f>
        <v>0.88200000000000001</v>
      </c>
      <c r="O176" s="850">
        <f>$H176*_xlfn.XLOOKUP($G176,'Baumaterialien Matériaux'!$A:$A,'Baumaterialien Matériaux'!AC:AC,0,0)*44/12</f>
        <v>0</v>
      </c>
      <c r="P176" s="850">
        <f>$H176*_xlfn.XLOOKUP($G176,'Baumaterialien Matériaux'!$A:$A,'Baumaterialien Matériaux'!AG:AG,0,0)</f>
        <v>0</v>
      </c>
      <c r="Q176" s="850">
        <f>$H176*_xlfn.XLOOKUP($G176,'Baumaterialien Matériaux'!$A:$A,'Baumaterialien Matériaux'!AH:AH,0,0)</f>
        <v>0</v>
      </c>
      <c r="V176" s="1785">
        <f t="shared" si="44"/>
        <v>0</v>
      </c>
    </row>
    <row r="177" spans="1:86" s="590" customFormat="1" ht="15.75" thickBot="1">
      <c r="B177" s="598"/>
      <c r="G177" s="599"/>
      <c r="H177" s="602"/>
      <c r="J177" s="600">
        <v>30</v>
      </c>
      <c r="K177" s="844">
        <f t="shared" ref="K177:M177" si="58">SUM(K172:K176)</f>
        <v>132.03200000000004</v>
      </c>
      <c r="L177" s="844">
        <f t="shared" si="58"/>
        <v>8.8586600000000004</v>
      </c>
      <c r="M177" s="844">
        <f t="shared" si="58"/>
        <v>11.299150000000001</v>
      </c>
      <c r="N177" s="844">
        <f t="shared" ref="N177" si="59">SUM(N172:N176)</f>
        <v>26.101600000000005</v>
      </c>
      <c r="O177" s="844">
        <f t="shared" ref="O177" si="60">SUM(O172:O176)</f>
        <v>0</v>
      </c>
      <c r="P177" s="844">
        <f t="shared" ref="P177" si="61">SUM(P172:P176)</f>
        <v>0</v>
      </c>
      <c r="Q177" s="844">
        <f t="shared" ref="Q177" si="62">SUM(Q172:Q176)</f>
        <v>0</v>
      </c>
      <c r="R177" s="159"/>
      <c r="S177" s="540">
        <f>(M177+N177)/J176</f>
        <v>1.2466916666666668</v>
      </c>
      <c r="T177" s="159">
        <v>1.23</v>
      </c>
      <c r="U177" s="159"/>
      <c r="V177" s="1785">
        <f t="shared" si="44"/>
        <v>0</v>
      </c>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59"/>
      <c r="BM177" s="159"/>
      <c r="BN177" s="159"/>
      <c r="BO177" s="159"/>
      <c r="BP177" s="159"/>
      <c r="BQ177" s="159"/>
      <c r="BR177" s="159"/>
      <c r="BS177" s="159"/>
      <c r="BT177" s="159"/>
      <c r="BU177" s="159"/>
      <c r="BV177" s="159"/>
      <c r="BW177" s="159"/>
      <c r="BX177" s="159"/>
      <c r="BY177" s="159"/>
      <c r="BZ177" s="159"/>
      <c r="CA177" s="159"/>
      <c r="CB177" s="159"/>
      <c r="CC177" s="159"/>
      <c r="CD177" s="159"/>
      <c r="CE177" s="159"/>
      <c r="CF177" s="159"/>
      <c r="CG177" s="159"/>
      <c r="CH177" s="159"/>
    </row>
    <row r="178" spans="1:86" s="159" customFormat="1" ht="15.75" thickTop="1">
      <c r="G178" s="604"/>
      <c r="H178" s="605"/>
      <c r="J178" s="606"/>
      <c r="K178" s="851"/>
      <c r="L178" s="851"/>
      <c r="M178" s="851"/>
      <c r="N178" s="851"/>
      <c r="O178" s="851"/>
      <c r="P178" s="851"/>
      <c r="Q178" s="851"/>
      <c r="V178" s="1785">
        <f t="shared" si="44"/>
        <v>0</v>
      </c>
    </row>
    <row r="179" spans="1:86" s="582" customFormat="1">
      <c r="A179" s="1096" t="s">
        <v>770</v>
      </c>
      <c r="B179" s="1941" t="s">
        <v>771</v>
      </c>
      <c r="C179" s="163" t="s">
        <v>761</v>
      </c>
      <c r="D179" s="163" t="str">
        <f>VLOOKUP(G179,'Baumaterialien Matériaux'!$A$10:$AD$432,30,FALSE)</f>
        <v>Bois massif épicéa / sapin / mélèze, séché à l'air, brut</v>
      </c>
      <c r="E179" s="1409"/>
      <c r="F179" s="163" t="str">
        <f>VLOOKUP(G179,'Baumaterialien Matériaux'!$A$10:$AD$432,7,FALSE)</f>
        <v>kg</v>
      </c>
      <c r="G179" s="281" t="s">
        <v>619</v>
      </c>
      <c r="H179" s="259">
        <f>1/0.6*0.06*0.06+1/0.35*0.024*0.048*485</f>
        <v>1.6023428571428571</v>
      </c>
      <c r="I179" s="163"/>
      <c r="J179" s="163">
        <v>40</v>
      </c>
      <c r="K179" s="259">
        <f>$H179*_xlfn.XLOOKUP($G179,'Baumaterialien Matériaux'!$A:$A,'Baumaterialien Matériaux'!V:V,0,0)</f>
        <v>0.67458634285714281</v>
      </c>
      <c r="L179" s="259">
        <f>$H179*_xlfn.XLOOKUP($G179,'Baumaterialien Matériaux'!$A:$A,'Baumaterialien Matériaux'!Y:Y,0,0)</f>
        <v>0.14228804571428572</v>
      </c>
      <c r="M179" s="259">
        <f>$H179*_xlfn.XLOOKUP($G179,'Baumaterialien Matériaux'!$A:$A,'Baumaterialien Matériaux'!AA:AA,0,0)</f>
        <v>0.14485179428571426</v>
      </c>
      <c r="N179" s="259">
        <f>$H179*_xlfn.XLOOKUP($G179,'Baumaterialien Matériaux'!$A:$A,'Baumaterialien Matériaux'!AB:AB,0,0)</f>
        <v>6.2491371428571425E-2</v>
      </c>
      <c r="O179" s="259">
        <f>$H179*_xlfn.XLOOKUP($G179,'Baumaterialien Matériaux'!$A:$A,'Baumaterialien Matériaux'!AC:AC,0,0)*44/12</f>
        <v>2.4264811999999996</v>
      </c>
      <c r="P179" s="259">
        <f>$H179*_xlfn.XLOOKUP($G179,'Baumaterialien Matériaux'!$A:$A,'Baumaterialien Matériaux'!AG:AG,0,0)</f>
        <v>0</v>
      </c>
      <c r="Q179" s="259">
        <f>$H179*_xlfn.XLOOKUP($G179,'Baumaterialien Matériaux'!$A:$A,'Baumaterialien Matériaux'!AH:AH,0,0)</f>
        <v>0</v>
      </c>
      <c r="R179" s="159"/>
      <c r="S179" s="159"/>
      <c r="T179" s="159"/>
      <c r="U179" s="159"/>
      <c r="V179" s="1785">
        <f t="shared" si="44"/>
        <v>0</v>
      </c>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59"/>
      <c r="BM179" s="159"/>
      <c r="BN179" s="159"/>
      <c r="BO179" s="159"/>
      <c r="BP179" s="159"/>
      <c r="BQ179" s="159"/>
      <c r="BR179" s="159"/>
      <c r="BS179" s="159"/>
      <c r="BT179" s="159"/>
      <c r="BU179" s="159"/>
      <c r="BV179" s="159"/>
      <c r="BW179" s="159"/>
      <c r="BX179" s="159"/>
      <c r="BY179" s="159"/>
      <c r="BZ179" s="159"/>
      <c r="CA179" s="159"/>
      <c r="CB179" s="159"/>
      <c r="CC179" s="159"/>
      <c r="CD179" s="159"/>
      <c r="CE179" s="159"/>
      <c r="CF179" s="159"/>
      <c r="CG179" s="159"/>
      <c r="CH179" s="159"/>
    </row>
    <row r="180" spans="1:86" s="159" customFormat="1">
      <c r="B180" s="1941"/>
      <c r="C180" s="163" t="s">
        <v>762</v>
      </c>
      <c r="D180" s="163" t="str">
        <f>VLOOKUP(G180,'Baumaterialien Matériaux'!$A$10:$AD$432,30,FALSE)</f>
        <v>Voile de polyéthylène (PE)</v>
      </c>
      <c r="E180" s="1409"/>
      <c r="F180" s="163" t="str">
        <f>VLOOKUP(G180,'Baumaterialien Matériaux'!$A$10:$AD$432,7,FALSE)</f>
        <v>kg</v>
      </c>
      <c r="G180" s="508" t="s">
        <v>600</v>
      </c>
      <c r="H180" s="259">
        <v>0.14000000000000001</v>
      </c>
      <c r="I180" s="163"/>
      <c r="J180" s="163">
        <v>40</v>
      </c>
      <c r="K180" s="259">
        <f>$H180*_xlfn.XLOOKUP($G180,'Baumaterialien Matériaux'!$A:$A,'Baumaterialien Matériaux'!V:V,0,0)</f>
        <v>3.5980000000000003</v>
      </c>
      <c r="L180" s="259">
        <f>$H180*_xlfn.XLOOKUP($G180,'Baumaterialien Matériaux'!$A:$A,'Baumaterialien Matériaux'!Y:Y,0,0)</f>
        <v>2.9260000000000001E-2</v>
      </c>
      <c r="M180" s="259">
        <f>$H180*_xlfn.XLOOKUP($G180,'Baumaterialien Matériaux'!$A:$A,'Baumaterialien Matériaux'!AA:AA,0,0)</f>
        <v>0.41440000000000005</v>
      </c>
      <c r="N180" s="259">
        <f>$H180*_xlfn.XLOOKUP($G180,'Baumaterialien Matériaux'!$A:$A,'Baumaterialien Matériaux'!AB:AB,0,0)</f>
        <v>0.37380000000000002</v>
      </c>
      <c r="O180" s="259">
        <f>$H180*_xlfn.XLOOKUP($G180,'Baumaterialien Matériaux'!$A:$A,'Baumaterialien Matériaux'!AC:AC,0,0)*44/12</f>
        <v>0</v>
      </c>
      <c r="P180" s="259">
        <f>$H180*_xlfn.XLOOKUP($G180,'Baumaterialien Matériaux'!$A:$A,'Baumaterialien Matériaux'!AG:AG,0,0)</f>
        <v>0</v>
      </c>
      <c r="Q180" s="259">
        <f>$H180*_xlfn.XLOOKUP($G180,'Baumaterialien Matériaux'!$A:$A,'Baumaterialien Matériaux'!AH:AH,0,0)</f>
        <v>0</v>
      </c>
      <c r="V180" s="1785">
        <f t="shared" si="44"/>
        <v>0</v>
      </c>
    </row>
    <row r="181" spans="1:86" s="159" customFormat="1">
      <c r="B181" s="1941"/>
      <c r="C181" s="163" t="s">
        <v>763</v>
      </c>
      <c r="D181" s="163" t="str">
        <f>VLOOKUP(G181,'Baumaterialien Matériaux'!$A$10:$AD$432,30,FALSE)</f>
        <v>Tuile en terre cuite</v>
      </c>
      <c r="E181" s="1409"/>
      <c r="F181" s="163" t="str">
        <f>VLOOKUP(G181,'Baumaterialien Matériaux'!$A$10:$AD$432,7,FALSE)</f>
        <v>kg</v>
      </c>
      <c r="G181" s="508" t="s">
        <v>663</v>
      </c>
      <c r="H181" s="259">
        <v>50</v>
      </c>
      <c r="I181" s="163"/>
      <c r="J181" s="163">
        <v>40</v>
      </c>
      <c r="K181" s="259">
        <f>$H181*_xlfn.XLOOKUP($G181,'Baumaterialien Matériaux'!$A:$A,'Baumaterialien Matériaux'!V:V,0,0)</f>
        <v>53</v>
      </c>
      <c r="L181" s="259">
        <f>$H181*_xlfn.XLOOKUP($G181,'Baumaterialien Matériaux'!$A:$A,'Baumaterialien Matériaux'!Y:Y,0,0)</f>
        <v>2.6</v>
      </c>
      <c r="M181" s="259">
        <f>$H181*_xlfn.XLOOKUP($G181,'Baumaterialien Matériaux'!$A:$A,'Baumaterialien Matériaux'!AA:AA,0,0)</f>
        <v>18.649999999999999</v>
      </c>
      <c r="N181" s="259">
        <f>$H181*_xlfn.XLOOKUP($G181,'Baumaterialien Matériaux'!$A:$A,'Baumaterialien Matériaux'!AB:AB,0,0)</f>
        <v>0.63500000000000001</v>
      </c>
      <c r="O181" s="259">
        <f>$H181*_xlfn.XLOOKUP($G181,'Baumaterialien Matériaux'!$A:$A,'Baumaterialien Matériaux'!AC:AC,0,0)*44/12</f>
        <v>0</v>
      </c>
      <c r="P181" s="259">
        <f>$H181*_xlfn.XLOOKUP($G181,'Baumaterialien Matériaux'!$A:$A,'Baumaterialien Matériaux'!AG:AG,0,0)</f>
        <v>0</v>
      </c>
      <c r="Q181" s="259">
        <f>$H181*_xlfn.XLOOKUP($G181,'Baumaterialien Matériaux'!$A:$A,'Baumaterialien Matériaux'!AH:AH,0,0)</f>
        <v>0</v>
      </c>
      <c r="V181" s="1785">
        <f t="shared" si="44"/>
        <v>0</v>
      </c>
    </row>
    <row r="182" spans="1:86" s="159" customFormat="1">
      <c r="B182" s="1941"/>
      <c r="C182" s="163" t="s">
        <v>764</v>
      </c>
      <c r="D182" s="163" t="str">
        <f>VLOOKUP(G182,'Baumaterialien Matériaux'!$A$10:$AD$432,30,FALSE)</f>
        <v>Tôle d'acier, zinguée</v>
      </c>
      <c r="E182" s="1409"/>
      <c r="F182" s="163" t="str">
        <f>VLOOKUP(G182,'Baumaterialien Matériaux'!$A$10:$AD$432,7,FALSE)</f>
        <v>kg</v>
      </c>
      <c r="G182" s="508" t="s">
        <v>657</v>
      </c>
      <c r="H182" s="259">
        <f>2.2*3.14*0.0035^2*0.33*7850</f>
        <v>0.21921588150000007</v>
      </c>
      <c r="I182" s="163"/>
      <c r="J182" s="163">
        <v>40</v>
      </c>
      <c r="K182" s="259">
        <f>$H182*_xlfn.XLOOKUP($G182,'Baumaterialien Matériaux'!$A:$A,'Baumaterialien Matériaux'!V:V,0,0)</f>
        <v>3.4197677514000011</v>
      </c>
      <c r="L182" s="259">
        <f>$H182*_xlfn.XLOOKUP($G182,'Baumaterialien Matériaux'!$A:$A,'Baumaterialien Matériaux'!Y:Y,0,0)</f>
        <v>5.9626719768000012E-3</v>
      </c>
      <c r="M182" s="259">
        <f>$H182*_xlfn.XLOOKUP($G182,'Baumaterialien Matériaux'!$A:$A,'Baumaterialien Matériaux'!AA:AA,0,0)</f>
        <v>0.98208714912000039</v>
      </c>
      <c r="N182" s="259">
        <f>$H182*_xlfn.XLOOKUP($G182,'Baumaterialien Matériaux'!$A:$A,'Baumaterialien Matériaux'!AB:AB,0,0)</f>
        <v>1.5191660587950005E-3</v>
      </c>
      <c r="O182" s="259">
        <f>$H182*_xlfn.XLOOKUP($G182,'Baumaterialien Matériaux'!$A:$A,'Baumaterialien Matériaux'!AC:AC,0,0)*44/12</f>
        <v>0</v>
      </c>
      <c r="P182" s="259">
        <f>$H182*_xlfn.XLOOKUP($G182,'Baumaterialien Matériaux'!$A:$A,'Baumaterialien Matériaux'!AG:AG,0,0)</f>
        <v>0</v>
      </c>
      <c r="Q182" s="259">
        <f>$H182*_xlfn.XLOOKUP($G182,'Baumaterialien Matériaux'!$A:$A,'Baumaterialien Matériaux'!AH:AH,0,0)</f>
        <v>0</v>
      </c>
      <c r="V182" s="1785">
        <f t="shared" si="44"/>
        <v>0</v>
      </c>
    </row>
    <row r="183" spans="1:86" s="590" customFormat="1" ht="15.75" thickBot="1">
      <c r="G183" s="599"/>
      <c r="J183" s="600">
        <v>40</v>
      </c>
      <c r="K183" s="844">
        <f t="shared" ref="K183:L183" si="63">SUM(K179:K182)</f>
        <v>60.692354094257148</v>
      </c>
      <c r="L183" s="844">
        <f t="shared" si="63"/>
        <v>2.7775107176910856</v>
      </c>
      <c r="M183" s="844">
        <f t="shared" ref="M183:O183" si="64">SUM(M179:M182)</f>
        <v>20.191338943405714</v>
      </c>
      <c r="N183" s="844">
        <f t="shared" si="64"/>
        <v>1.0728105374873664</v>
      </c>
      <c r="O183" s="844">
        <f t="shared" si="64"/>
        <v>2.4264811999999996</v>
      </c>
      <c r="P183" s="844">
        <f t="shared" ref="P183:Q183" si="65">SUM(P179:P182)</f>
        <v>0</v>
      </c>
      <c r="Q183" s="844">
        <f t="shared" si="65"/>
        <v>0</v>
      </c>
      <c r="R183" s="159"/>
      <c r="S183" s="540">
        <f>(M183+N183)/J182</f>
        <v>0.53160373702232699</v>
      </c>
      <c r="T183" s="159">
        <v>0.51</v>
      </c>
      <c r="U183" s="159"/>
      <c r="V183" s="1785">
        <f t="shared" si="44"/>
        <v>0</v>
      </c>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59"/>
      <c r="AY183" s="159"/>
      <c r="AZ183" s="159"/>
      <c r="BA183" s="159"/>
      <c r="BB183" s="159"/>
      <c r="BC183" s="159"/>
      <c r="BD183" s="159"/>
      <c r="BE183" s="159"/>
      <c r="BF183" s="159"/>
      <c r="BG183" s="159"/>
      <c r="BH183" s="159"/>
      <c r="BI183" s="159"/>
      <c r="BJ183" s="159"/>
      <c r="BK183" s="159"/>
      <c r="BL183" s="159"/>
      <c r="BM183" s="159"/>
      <c r="BN183" s="159"/>
      <c r="BO183" s="159"/>
      <c r="BP183" s="159"/>
      <c r="BQ183" s="159"/>
      <c r="BR183" s="159"/>
      <c r="BS183" s="159"/>
      <c r="BT183" s="159"/>
      <c r="BU183" s="159"/>
      <c r="BV183" s="159"/>
      <c r="BW183" s="159"/>
      <c r="BX183" s="159"/>
      <c r="BY183" s="159"/>
      <c r="BZ183" s="159"/>
      <c r="CA183" s="159"/>
      <c r="CB183" s="159"/>
      <c r="CC183" s="159"/>
      <c r="CD183" s="159"/>
      <c r="CE183" s="159"/>
      <c r="CF183" s="159"/>
      <c r="CG183" s="159"/>
      <c r="CH183" s="159"/>
    </row>
    <row r="184" spans="1:86" ht="15" thickTop="1">
      <c r="K184" s="126"/>
      <c r="L184" s="126"/>
      <c r="M184" s="126"/>
      <c r="N184" s="126"/>
      <c r="O184" s="126"/>
      <c r="P184" s="126"/>
      <c r="Q184" s="126"/>
      <c r="V184" s="1785">
        <f t="shared" si="44"/>
        <v>0</v>
      </c>
    </row>
    <row r="185" spans="1:86" s="134" customFormat="1" ht="17.25">
      <c r="A185" s="132"/>
      <c r="B185" s="132" t="str">
        <f>A157&amp; + " isolant"</f>
        <v>Toiture plate isolant</v>
      </c>
      <c r="C185" s="132"/>
      <c r="D185" s="132"/>
      <c r="E185" s="132"/>
      <c r="F185" s="132"/>
      <c r="G185" s="504"/>
      <c r="H185" s="132" t="s">
        <v>635</v>
      </c>
      <c r="I185" s="132"/>
      <c r="K185" s="804"/>
      <c r="L185" s="804"/>
      <c r="M185" s="804"/>
      <c r="N185" s="804"/>
      <c r="O185" s="804"/>
      <c r="P185" s="804"/>
      <c r="Q185" s="804"/>
      <c r="V185" s="1785">
        <f t="shared" si="44"/>
        <v>0</v>
      </c>
    </row>
    <row r="186" spans="1:86" s="538" customFormat="1">
      <c r="A186" s="538" t="s">
        <v>694</v>
      </c>
      <c r="B186" s="166" t="s">
        <v>772</v>
      </c>
      <c r="C186" s="608" t="s">
        <v>773</v>
      </c>
      <c r="D186" s="538" t="str">
        <f>VLOOKUP(G186,'Baumaterialien Matériaux'!$A$10:$AD$432,30,FALSE)</f>
        <v>Polystyrène expansé (EPS)</v>
      </c>
      <c r="E186" s="1785"/>
      <c r="F186" s="538" t="str">
        <f>VLOOKUP(G186,'Baumaterialien Matériaux'!$A$10:$AD$432,7,FALSE)</f>
        <v>kg</v>
      </c>
      <c r="G186" s="571" t="s">
        <v>696</v>
      </c>
      <c r="H186" s="539">
        <f>25*0.22</f>
        <v>5.5</v>
      </c>
      <c r="J186" s="538">
        <v>30</v>
      </c>
      <c r="K186" s="539">
        <f>$H186*_xlfn.XLOOKUP($G186,'Baumaterialien Matériaux'!$A:$A,'Baumaterialien Matériaux'!V:V,0,0)</f>
        <v>163.9</v>
      </c>
      <c r="L186" s="539">
        <f>$H186*_xlfn.XLOOKUP($G186,'Baumaterialien Matériaux'!$A:$A,'Baumaterialien Matériaux'!Y:Y,0,0)</f>
        <v>1.111</v>
      </c>
      <c r="M186" s="539">
        <f>$H186*_xlfn.XLOOKUP($G186,'Baumaterialien Matériaux'!$A:$A,'Baumaterialien Matériaux'!AA:AA,0,0)</f>
        <v>24.805</v>
      </c>
      <c r="N186" s="539">
        <f>$H186*_xlfn.XLOOKUP($G186,'Baumaterialien Matériaux'!$A:$A,'Baumaterialien Matériaux'!AB:AB,0,0)</f>
        <v>16.994999999999997</v>
      </c>
      <c r="O186" s="539">
        <f>$H186*_xlfn.XLOOKUP($G186,'Baumaterialien Matériaux'!$A:$A,'Baumaterialien Matériaux'!AC:AC,0,0)*44/12</f>
        <v>0</v>
      </c>
      <c r="P186" s="539">
        <f>$H186*_xlfn.XLOOKUP($G186,'Baumaterialien Matériaux'!$A:$A,'Baumaterialien Matériaux'!AG:AG,0,0)</f>
        <v>0</v>
      </c>
      <c r="Q186" s="539">
        <f>$H186*_xlfn.XLOOKUP($G186,'Baumaterialien Matériaux'!$A:$A,'Baumaterialien Matériaux'!AH:AH,0,0)</f>
        <v>0</v>
      </c>
      <c r="U186" s="1785"/>
      <c r="V186" s="1785">
        <f t="shared" si="44"/>
        <v>0</v>
      </c>
      <c r="W186" s="1785"/>
      <c r="X186" s="1785"/>
      <c r="Y186" s="1785"/>
      <c r="Z186" s="1785"/>
    </row>
    <row r="187" spans="1:86" s="159" customFormat="1">
      <c r="G187" s="604"/>
      <c r="K187" s="605"/>
      <c r="L187" s="605"/>
      <c r="M187" s="605"/>
      <c r="N187" s="605"/>
      <c r="O187" s="605"/>
      <c r="P187" s="605"/>
      <c r="Q187" s="605"/>
      <c r="V187" s="1785">
        <f t="shared" si="44"/>
        <v>0</v>
      </c>
    </row>
    <row r="188" spans="1:86" s="538" customFormat="1">
      <c r="A188" s="538" t="s">
        <v>697</v>
      </c>
      <c r="B188" s="166" t="s">
        <v>774</v>
      </c>
      <c r="C188" s="538" t="s">
        <v>775</v>
      </c>
      <c r="D188" s="538" t="str">
        <f>VLOOKUP(G188,'Baumaterialien Matériaux'!$A$10:$AD$432,30,FALSE)</f>
        <v>Laine de roche</v>
      </c>
      <c r="E188" s="1785"/>
      <c r="F188" s="538" t="str">
        <f>VLOOKUP(G188,'Baumaterialien Matériaux'!$A$10:$AD$432,7,FALSE)</f>
        <v>kg</v>
      </c>
      <c r="G188" s="561" t="s">
        <v>699</v>
      </c>
      <c r="H188" s="539">
        <f>0.28*160</f>
        <v>44.800000000000004</v>
      </c>
      <c r="J188" s="538">
        <v>30</v>
      </c>
      <c r="K188" s="539">
        <f>$H188*_xlfn.XLOOKUP($G188,'Baumaterialien Matériaux'!$A:$A,'Baumaterialien Matériaux'!V:V,0,0)</f>
        <v>138.88000000000002</v>
      </c>
      <c r="L188" s="539">
        <f>$H188*_xlfn.XLOOKUP($G188,'Baumaterialien Matériaux'!$A:$A,'Baumaterialien Matériaux'!Y:Y,0,0)</f>
        <v>5.958400000000001</v>
      </c>
      <c r="M188" s="539">
        <f>$H188*_xlfn.XLOOKUP($G188,'Baumaterialien Matériaux'!$A:$A,'Baumaterialien Matériaux'!AA:AA,0,0)</f>
        <v>33.913600000000002</v>
      </c>
      <c r="N188" s="539">
        <f>$H188*_xlfn.XLOOKUP($G188,'Baumaterialien Matériaux'!$A:$A,'Baumaterialien Matériaux'!AB:AB,0,0)</f>
        <v>2.6521600000000003</v>
      </c>
      <c r="O188" s="539">
        <f>$H188*_xlfn.XLOOKUP($G188,'Baumaterialien Matériaux'!$A:$A,'Baumaterialien Matériaux'!AC:AC,0,0)*44/12</f>
        <v>0</v>
      </c>
      <c r="P188" s="539">
        <f>$H188*_xlfn.XLOOKUP($G188,'Baumaterialien Matériaux'!$A:$A,'Baumaterialien Matériaux'!AG:AG,0,0)</f>
        <v>0</v>
      </c>
      <c r="Q188" s="539">
        <f>$H188*_xlfn.XLOOKUP($G188,'Baumaterialien Matériaux'!$A:$A,'Baumaterialien Matériaux'!AH:AH,0,0)</f>
        <v>0</v>
      </c>
      <c r="U188" s="1785"/>
      <c r="V188" s="1785">
        <f t="shared" si="44"/>
        <v>0</v>
      </c>
      <c r="W188" s="1785"/>
      <c r="X188" s="1785"/>
      <c r="Y188" s="1785"/>
      <c r="Z188" s="1785"/>
    </row>
    <row r="189" spans="1:86" s="159" customFormat="1">
      <c r="G189" s="1060"/>
      <c r="H189" s="605"/>
      <c r="K189" s="605"/>
      <c r="L189" s="605"/>
      <c r="M189" s="605"/>
      <c r="N189" s="605"/>
      <c r="O189" s="605"/>
      <c r="P189" s="605"/>
      <c r="Q189" s="605"/>
      <c r="V189" s="1785">
        <f t="shared" si="44"/>
        <v>0</v>
      </c>
    </row>
    <row r="190" spans="1:86" s="163" customFormat="1">
      <c r="A190" s="163" t="s">
        <v>702</v>
      </c>
      <c r="B190" s="166"/>
      <c r="C190" s="1057" t="s">
        <v>776</v>
      </c>
      <c r="D190" s="163" t="str">
        <f>VLOOKUP(G190,'Baumaterialien Matériaux'!$A$10:$AD$432,30,FALSE)</f>
        <v>Laine de verre</v>
      </c>
      <c r="E190" s="1409"/>
      <c r="F190" s="163" t="str">
        <f>VLOOKUP(G190,'Baumaterialien Matériaux'!$A$10:$AD$432,7,FALSE)</f>
        <v>kg</v>
      </c>
      <c r="G190" s="508" t="s">
        <v>704</v>
      </c>
      <c r="H190" s="259">
        <f>0.22*60</f>
        <v>13.2</v>
      </c>
      <c r="J190" s="163">
        <v>30</v>
      </c>
      <c r="K190" s="259">
        <f>$H190*_xlfn.XLOOKUP($G190,'Baumaterialien Matériaux'!$A:$A,'Baumaterialien Matériaux'!V:V,0,0)</f>
        <v>70.355999999999995</v>
      </c>
      <c r="L190" s="259">
        <f>$H190*_xlfn.XLOOKUP($G190,'Baumaterialien Matériaux'!$A:$A,'Baumaterialien Matériaux'!Y:Y,0,0)</f>
        <v>1.7556</v>
      </c>
      <c r="M190" s="259">
        <f>$H190*_xlfn.XLOOKUP($G190,'Baumaterialien Matériaux'!$A:$A,'Baumaterialien Matériaux'!AA:AA,0,0)</f>
        <v>13.728</v>
      </c>
      <c r="N190" s="259">
        <f>$H190*_xlfn.XLOOKUP($G190,'Baumaterialien Matériaux'!$A:$A,'Baumaterialien Matériaux'!AB:AB,0,0)</f>
        <v>0.78144000000000002</v>
      </c>
      <c r="O190" s="259">
        <f>$H190*_xlfn.XLOOKUP($G190,'Baumaterialien Matériaux'!$A:$A,'Baumaterialien Matériaux'!AC:AC,0,0)*44/12</f>
        <v>0</v>
      </c>
      <c r="P190" s="259">
        <f>$H190*_xlfn.XLOOKUP($G190,'Baumaterialien Matériaux'!$A:$A,'Baumaterialien Matériaux'!AG:AG,0,0)</f>
        <v>0</v>
      </c>
      <c r="Q190" s="259">
        <f>$H190*_xlfn.XLOOKUP($G190,'Baumaterialien Matériaux'!$A:$A,'Baumaterialien Matériaux'!AH:AH,0,0)</f>
        <v>0</v>
      </c>
      <c r="U190" s="1409"/>
      <c r="V190" s="1785">
        <f t="shared" si="44"/>
        <v>0</v>
      </c>
      <c r="W190" s="1409"/>
      <c r="X190" s="1409"/>
      <c r="Y190" s="1409"/>
      <c r="Z190" s="1409"/>
    </row>
    <row r="191" spans="1:86" s="159" customFormat="1">
      <c r="G191" s="604"/>
      <c r="K191" s="605"/>
      <c r="L191" s="605"/>
      <c r="M191" s="605"/>
      <c r="N191" s="605"/>
      <c r="O191" s="605"/>
      <c r="P191" s="605"/>
      <c r="Q191" s="605"/>
      <c r="V191" s="1785">
        <f t="shared" si="44"/>
        <v>0</v>
      </c>
    </row>
    <row r="192" spans="1:86" s="538" customFormat="1">
      <c r="A192" s="1236" t="s">
        <v>208</v>
      </c>
      <c r="B192" s="166"/>
      <c r="C192" s="538" t="s">
        <v>580</v>
      </c>
      <c r="D192" s="538" t="str">
        <f>VLOOKUP(G192,'Baumaterialien Matériaux'!$A$10:$AD$432,30,FALSE)</f>
        <v>Polystyrène extrudé (XPS)</v>
      </c>
      <c r="E192" s="1785"/>
      <c r="F192" s="538" t="str">
        <f>VLOOKUP(G192,'Baumaterialien Matériaux'!$A$10:$AD$432,7,FALSE)</f>
        <v>kg</v>
      </c>
      <c r="G192" s="561" t="s">
        <v>581</v>
      </c>
      <c r="H192" s="539">
        <f>33*0.2</f>
        <v>6.6000000000000005</v>
      </c>
      <c r="J192" s="538">
        <v>30</v>
      </c>
      <c r="K192" s="539">
        <f>$H192*_xlfn.XLOOKUP($G192,'Baumaterialien Matériaux'!$A:$A,'Baumaterialien Matériaux'!V:V,0,0)</f>
        <v>192.72</v>
      </c>
      <c r="L192" s="539">
        <f>$H192*_xlfn.XLOOKUP($G192,'Baumaterialien Matériaux'!$A:$A,'Baumaterialien Matériaux'!Y:Y,0,0)</f>
        <v>1.3332000000000002</v>
      </c>
      <c r="M192" s="539">
        <f>$H192*_xlfn.XLOOKUP($G192,'Baumaterialien Matériaux'!$A:$A,'Baumaterialien Matériaux'!AA:AA,0,0)</f>
        <v>74.580000000000013</v>
      </c>
      <c r="N192" s="539">
        <f>$H192*_xlfn.XLOOKUP($G192,'Baumaterialien Matériaux'!$A:$A,'Baumaterialien Matériaux'!AB:AB,0,0)</f>
        <v>20.394000000000002</v>
      </c>
      <c r="O192" s="539">
        <f>$H192*_xlfn.XLOOKUP($G192,'Baumaterialien Matériaux'!$A:$A,'Baumaterialien Matériaux'!AC:AC,0,0)*44/12</f>
        <v>0</v>
      </c>
      <c r="P192" s="539">
        <f>$H192*_xlfn.XLOOKUP($G192,'Baumaterialien Matériaux'!$A:$A,'Baumaterialien Matériaux'!AG:AG,0,0)</f>
        <v>0</v>
      </c>
      <c r="Q192" s="539">
        <f>$H192*_xlfn.XLOOKUP($G192,'Baumaterialien Matériaux'!$A:$A,'Baumaterialien Matériaux'!AH:AH,0,0)</f>
        <v>0</v>
      </c>
      <c r="U192" s="1785"/>
      <c r="V192" s="1785">
        <f t="shared" si="44"/>
        <v>0</v>
      </c>
      <c r="W192" s="1785"/>
      <c r="X192" s="1785"/>
      <c r="Y192" s="1785"/>
      <c r="Z192" s="1785"/>
    </row>
    <row r="193" spans="1:26" s="159" customFormat="1">
      <c r="G193" s="604"/>
      <c r="K193" s="605"/>
      <c r="L193" s="605"/>
      <c r="M193" s="605"/>
      <c r="N193" s="605"/>
      <c r="O193" s="605"/>
      <c r="P193" s="605"/>
      <c r="Q193" s="605"/>
      <c r="V193" s="1785">
        <f t="shared" si="44"/>
        <v>0</v>
      </c>
    </row>
    <row r="194" spans="1:26" s="166" customFormat="1">
      <c r="A194" s="163" t="s">
        <v>777</v>
      </c>
      <c r="B194" s="166" t="s">
        <v>778</v>
      </c>
      <c r="C194" s="521" t="s">
        <v>779</v>
      </c>
      <c r="D194" s="166" t="str">
        <f>VLOOKUP(G194,'Baumaterialien Matériaux'!$A$10:$AD$432,30,FALSE)</f>
        <v>Polyuréthane (PUR/PIR)</v>
      </c>
      <c r="E194" s="1403"/>
      <c r="F194" s="166" t="s">
        <v>268</v>
      </c>
      <c r="G194" s="1055" t="s">
        <v>780</v>
      </c>
      <c r="H194" s="167">
        <f>30*0.16</f>
        <v>4.8</v>
      </c>
      <c r="J194" s="535">
        <v>30</v>
      </c>
      <c r="K194" s="843">
        <f>$H194*_xlfn.XLOOKUP($G194,'Baumaterialien Matériaux'!$A:$A,'Baumaterialien Matériaux'!V:V,0,0)</f>
        <v>141.6</v>
      </c>
      <c r="L194" s="843">
        <f>$H194*_xlfn.XLOOKUP($G194,'Baumaterialien Matériaux'!$A:$A,'Baumaterialien Matériaux'!Y:Y,0,0)</f>
        <v>3.2736000000000001</v>
      </c>
      <c r="M194" s="843">
        <f>$H194*_xlfn.XLOOKUP($G194,'Baumaterialien Matériaux'!$A:$A,'Baumaterialien Matériaux'!AA:AA,0,0)</f>
        <v>22.992000000000001</v>
      </c>
      <c r="N194" s="843">
        <f>$H194*_xlfn.XLOOKUP($G194,'Baumaterialien Matériaux'!$A:$A,'Baumaterialien Matériaux'!AB:AB,0,0)</f>
        <v>12.719999999999999</v>
      </c>
      <c r="O194" s="843">
        <f>$H194*_xlfn.XLOOKUP($G194,'Baumaterialien Matériaux'!$A:$A,'Baumaterialien Matériaux'!AC:AC,0,0)*44/12</f>
        <v>0</v>
      </c>
      <c r="P194" s="843">
        <f>$H194*_xlfn.XLOOKUP($G194,'Baumaterialien Matériaux'!$A:$A,'Baumaterialien Matériaux'!AG:AG,0,0)</f>
        <v>0</v>
      </c>
      <c r="Q194" s="843">
        <f>$H194*_xlfn.XLOOKUP($G194,'Baumaterialien Matériaux'!$A:$A,'Baumaterialien Matériaux'!AH:AH,0,0)</f>
        <v>0</v>
      </c>
      <c r="U194" s="1403"/>
      <c r="V194" s="1785">
        <f t="shared" si="44"/>
        <v>0</v>
      </c>
      <c r="W194" s="1403"/>
      <c r="X194" s="1403"/>
      <c r="Y194" s="1403"/>
      <c r="Z194" s="1403"/>
    </row>
    <row r="195" spans="1:26" s="159" customFormat="1">
      <c r="C195" s="1091"/>
      <c r="G195" s="1061"/>
      <c r="H195" s="605"/>
      <c r="K195" s="605"/>
      <c r="L195" s="605"/>
      <c r="M195" s="605"/>
      <c r="N195" s="605"/>
      <c r="O195" s="605"/>
      <c r="P195" s="605"/>
      <c r="Q195" s="605"/>
      <c r="V195" s="1785">
        <f t="shared" si="44"/>
        <v>0</v>
      </c>
    </row>
    <row r="196" spans="1:26">
      <c r="A196" s="585" t="s">
        <v>4480</v>
      </c>
      <c r="B196" s="3" t="s">
        <v>1012</v>
      </c>
      <c r="C196" s="3" t="s">
        <v>1012</v>
      </c>
      <c r="D196" s="3" t="s">
        <v>1012</v>
      </c>
      <c r="G196" s="1061"/>
      <c r="H196" s="126"/>
      <c r="J196" s="166">
        <v>30</v>
      </c>
      <c r="K196" s="167">
        <f>$H196*_xlfn.XLOOKUP($G196,'Baumaterialien Matériaux'!$A:$A,'Baumaterialien Matériaux'!V:V,0,0)</f>
        <v>0</v>
      </c>
      <c r="L196" s="167">
        <f>$H196*_xlfn.XLOOKUP($G196,'Baumaterialien Matériaux'!$A:$A,'Baumaterialien Matériaux'!Y:Y,0,0)</f>
        <v>0</v>
      </c>
      <c r="M196" s="167">
        <f>$H196*_xlfn.XLOOKUP($G196,'Baumaterialien Matériaux'!$A:$A,'Baumaterialien Matériaux'!AA:AA,0,0)</f>
        <v>0</v>
      </c>
      <c r="N196" s="167">
        <f>$H196*_xlfn.XLOOKUP($G196,'Baumaterialien Matériaux'!$A:$A,'Baumaterialien Matériaux'!AB:AB,0,0)</f>
        <v>0</v>
      </c>
      <c r="O196" s="167">
        <f>$H196*_xlfn.XLOOKUP($G196,'Baumaterialien Matériaux'!$A:$A,'Baumaterialien Matériaux'!AC:AC,0,0)*44/12</f>
        <v>0</v>
      </c>
      <c r="P196" s="167">
        <f>$H196*_xlfn.XLOOKUP($G196,'Baumaterialien Matériaux'!$A:$A,'Baumaterialien Matériaux'!AG:AG,0,0)</f>
        <v>0</v>
      </c>
      <c r="Q196" s="167">
        <f>$H196*_xlfn.XLOOKUP($G196,'Baumaterialien Matériaux'!$A:$A,'Baumaterialien Matériaux'!AH:AH,0,0)</f>
        <v>0</v>
      </c>
      <c r="V196" s="1785">
        <f t="shared" si="44"/>
        <v>0</v>
      </c>
    </row>
    <row r="197" spans="1:26" s="159" customFormat="1">
      <c r="G197" s="604"/>
      <c r="K197" s="605"/>
      <c r="L197" s="605"/>
      <c r="M197" s="605"/>
      <c r="N197" s="605"/>
      <c r="O197" s="605"/>
      <c r="P197" s="605"/>
      <c r="Q197" s="605"/>
      <c r="V197" s="1785">
        <f t="shared" ref="V197:V220" si="66">IFERROR(E197/U197,0)</f>
        <v>0</v>
      </c>
    </row>
    <row r="198" spans="1:26" s="134" customFormat="1" ht="17.25">
      <c r="A198" s="132"/>
      <c r="B198" s="132" t="str">
        <f>A165&amp; + " isolant"</f>
        <v>Toiture inclinée isolant</v>
      </c>
      <c r="C198" s="132"/>
      <c r="D198" s="132"/>
      <c r="E198" s="132"/>
      <c r="F198" s="132"/>
      <c r="G198" s="504"/>
      <c r="H198" s="132" t="s">
        <v>635</v>
      </c>
      <c r="I198" s="132"/>
      <c r="K198" s="804"/>
      <c r="L198" s="804"/>
      <c r="M198" s="804"/>
      <c r="N198" s="804"/>
      <c r="O198" s="804"/>
      <c r="P198" s="804"/>
      <c r="Q198" s="804"/>
      <c r="V198" s="1785">
        <f t="shared" si="66"/>
        <v>0</v>
      </c>
    </row>
    <row r="199" spans="1:26" s="538" customFormat="1">
      <c r="A199" s="538" t="str">
        <f t="shared" ref="A199:A207" si="67">A186</f>
        <v>EPS</v>
      </c>
      <c r="B199" s="166" t="s">
        <v>772</v>
      </c>
      <c r="C199" s="608" t="s">
        <v>773</v>
      </c>
      <c r="D199" s="538" t="str">
        <f>VLOOKUP(G199,'Baumaterialien Matériaux'!$A$10:$AD$432,30,FALSE)</f>
        <v>Polystyrène expansé (EPS)</v>
      </c>
      <c r="E199" s="1785"/>
      <c r="F199" s="538" t="str">
        <f>VLOOKUP(G199,'Baumaterialien Matériaux'!$A$10:$AD$432,7,FALSE)</f>
        <v>kg</v>
      </c>
      <c r="G199" s="571" t="s">
        <v>696</v>
      </c>
      <c r="H199" s="539">
        <f>25*0.22</f>
        <v>5.5</v>
      </c>
      <c r="J199" s="538">
        <v>40</v>
      </c>
      <c r="K199" s="539">
        <f>$H199*_xlfn.XLOOKUP($G199,'Baumaterialien Matériaux'!$A:$A,'Baumaterialien Matériaux'!V:V,0,0)</f>
        <v>163.9</v>
      </c>
      <c r="L199" s="539">
        <f>$H199*_xlfn.XLOOKUP($G199,'Baumaterialien Matériaux'!$A:$A,'Baumaterialien Matériaux'!Y:Y,0,0)</f>
        <v>1.111</v>
      </c>
      <c r="M199" s="539">
        <f>$H199*_xlfn.XLOOKUP($G199,'Baumaterialien Matériaux'!$A:$A,'Baumaterialien Matériaux'!AA:AA,0,0)</f>
        <v>24.805</v>
      </c>
      <c r="N199" s="539">
        <f>$H199*_xlfn.XLOOKUP($G199,'Baumaterialien Matériaux'!$A:$A,'Baumaterialien Matériaux'!AB:AB,0,0)</f>
        <v>16.994999999999997</v>
      </c>
      <c r="O199" s="539">
        <f>$H199*_xlfn.XLOOKUP($G199,'Baumaterialien Matériaux'!$A:$A,'Baumaterialien Matériaux'!AC:AC,0,0)*44/12</f>
        <v>0</v>
      </c>
      <c r="P199" s="539">
        <f>$H199*_xlfn.XLOOKUP($G199,'Baumaterialien Matériaux'!$A:$A,'Baumaterialien Matériaux'!AG:AG,0,0)</f>
        <v>0</v>
      </c>
      <c r="Q199" s="539">
        <f>$H199*_xlfn.XLOOKUP($G199,'Baumaterialien Matériaux'!$A:$A,'Baumaterialien Matériaux'!AH:AH,0,0)</f>
        <v>0</v>
      </c>
      <c r="S199" s="540"/>
      <c r="U199" s="1785"/>
      <c r="V199" s="1785">
        <f t="shared" si="66"/>
        <v>0</v>
      </c>
      <c r="W199" s="1785"/>
      <c r="X199" s="1785"/>
      <c r="Y199" s="1785"/>
      <c r="Z199" s="1785"/>
    </row>
    <row r="200" spans="1:26" s="159" customFormat="1">
      <c r="A200" s="159">
        <f t="shared" si="67"/>
        <v>0</v>
      </c>
      <c r="G200" s="604"/>
      <c r="K200" s="605"/>
      <c r="L200" s="605"/>
      <c r="M200" s="605"/>
      <c r="N200" s="605"/>
      <c r="O200" s="605"/>
      <c r="P200" s="605"/>
      <c r="Q200" s="605"/>
      <c r="V200" s="1785">
        <f t="shared" si="66"/>
        <v>0</v>
      </c>
    </row>
    <row r="201" spans="1:26" s="538" customFormat="1">
      <c r="A201" s="538" t="str">
        <f t="shared" si="67"/>
        <v>Laine de roche</v>
      </c>
      <c r="B201" s="166" t="s">
        <v>782</v>
      </c>
      <c r="C201" s="538" t="s">
        <v>783</v>
      </c>
      <c r="D201" s="538" t="str">
        <f>VLOOKUP(G201,'Baumaterialien Matériaux'!$A$10:$AD$432,30,FALSE)</f>
        <v>Laine de roche</v>
      </c>
      <c r="E201" s="1785"/>
      <c r="F201" s="538" t="str">
        <f>VLOOKUP(G201,'Baumaterialien Matériaux'!$A$10:$AD$432,7,FALSE)</f>
        <v>kg</v>
      </c>
      <c r="G201" s="561" t="s">
        <v>699</v>
      </c>
      <c r="H201" s="539">
        <f>0.28*90</f>
        <v>25.200000000000003</v>
      </c>
      <c r="J201" s="538">
        <v>40</v>
      </c>
      <c r="K201" s="539">
        <f>$H201*_xlfn.XLOOKUP($G201,'Baumaterialien Matériaux'!$A:$A,'Baumaterialien Matériaux'!V:V,0,0)</f>
        <v>78.12</v>
      </c>
      <c r="L201" s="539">
        <f>$H201*_xlfn.XLOOKUP($G201,'Baumaterialien Matériaux'!$A:$A,'Baumaterialien Matériaux'!Y:Y,0,0)</f>
        <v>3.3516000000000004</v>
      </c>
      <c r="M201" s="539">
        <f>$H201*_xlfn.XLOOKUP($G201,'Baumaterialien Matériaux'!$A:$A,'Baumaterialien Matériaux'!AA:AA,0,0)</f>
        <v>19.076400000000003</v>
      </c>
      <c r="N201" s="539">
        <f>$H201*_xlfn.XLOOKUP($G201,'Baumaterialien Matériaux'!$A:$A,'Baumaterialien Matériaux'!AB:AB,0,0)</f>
        <v>1.4918400000000003</v>
      </c>
      <c r="O201" s="539">
        <f>$H201*_xlfn.XLOOKUP($G201,'Baumaterialien Matériaux'!$A:$A,'Baumaterialien Matériaux'!AC:AC,0,0)*44/12</f>
        <v>0</v>
      </c>
      <c r="P201" s="539">
        <f>$H201*_xlfn.XLOOKUP($G201,'Baumaterialien Matériaux'!$A:$A,'Baumaterialien Matériaux'!AG:AG,0,0)</f>
        <v>0</v>
      </c>
      <c r="Q201" s="539">
        <f>$H201*_xlfn.XLOOKUP($G201,'Baumaterialien Matériaux'!$A:$A,'Baumaterialien Matériaux'!AH:AH,0,0)</f>
        <v>0</v>
      </c>
      <c r="U201" s="1785"/>
      <c r="V201" s="1785">
        <f t="shared" si="66"/>
        <v>0</v>
      </c>
      <c r="W201" s="1785"/>
      <c r="X201" s="1785"/>
      <c r="Y201" s="1785"/>
      <c r="Z201" s="1785"/>
    </row>
    <row r="202" spans="1:26" s="159" customFormat="1">
      <c r="A202" s="159">
        <f t="shared" si="67"/>
        <v>0</v>
      </c>
      <c r="G202" s="1060"/>
      <c r="H202" s="605"/>
      <c r="K202" s="605"/>
      <c r="L202" s="605"/>
      <c r="M202" s="605"/>
      <c r="N202" s="605"/>
      <c r="O202" s="605"/>
      <c r="P202" s="605"/>
      <c r="Q202" s="605"/>
      <c r="V202" s="1785">
        <f t="shared" si="66"/>
        <v>0</v>
      </c>
    </row>
    <row r="203" spans="1:26" s="163" customFormat="1">
      <c r="A203" s="163" t="str">
        <f t="shared" si="67"/>
        <v>Laine de verre</v>
      </c>
      <c r="B203" s="166"/>
      <c r="C203" s="1057" t="s">
        <v>776</v>
      </c>
      <c r="D203" s="163" t="str">
        <f>VLOOKUP(G203,'Baumaterialien Matériaux'!$A$10:$AD$432,30,FALSE)</f>
        <v>Laine de verre</v>
      </c>
      <c r="E203" s="1409"/>
      <c r="F203" s="163" t="str">
        <f>VLOOKUP(G203,'Baumaterialien Matériaux'!$A$10:$AD$432,7,FALSE)</f>
        <v>kg</v>
      </c>
      <c r="G203" s="508" t="s">
        <v>704</v>
      </c>
      <c r="H203" s="259">
        <f>0.22*60</f>
        <v>13.2</v>
      </c>
      <c r="J203" s="163">
        <v>40</v>
      </c>
      <c r="K203" s="259">
        <f>$H203*_xlfn.XLOOKUP($G203,'Baumaterialien Matériaux'!$A:$A,'Baumaterialien Matériaux'!V:V,0,0)</f>
        <v>70.355999999999995</v>
      </c>
      <c r="L203" s="259">
        <f>$H203*_xlfn.XLOOKUP($G203,'Baumaterialien Matériaux'!$A:$A,'Baumaterialien Matériaux'!Y:Y,0,0)</f>
        <v>1.7556</v>
      </c>
      <c r="M203" s="259">
        <f>$H203*_xlfn.XLOOKUP($G203,'Baumaterialien Matériaux'!$A:$A,'Baumaterialien Matériaux'!AA:AA,0,0)</f>
        <v>13.728</v>
      </c>
      <c r="N203" s="259">
        <f>$H203*_xlfn.XLOOKUP($G203,'Baumaterialien Matériaux'!$A:$A,'Baumaterialien Matériaux'!AB:AB,0,0)</f>
        <v>0.78144000000000002</v>
      </c>
      <c r="O203" s="259">
        <f>$H203*_xlfn.XLOOKUP($G203,'Baumaterialien Matériaux'!$A:$A,'Baumaterialien Matériaux'!AC:AC,0,0)*44/12</f>
        <v>0</v>
      </c>
      <c r="P203" s="259">
        <f>$H203*_xlfn.XLOOKUP($G203,'Baumaterialien Matériaux'!$A:$A,'Baumaterialien Matériaux'!AG:AG,0,0)</f>
        <v>0</v>
      </c>
      <c r="Q203" s="259">
        <f>$H203*_xlfn.XLOOKUP($G203,'Baumaterialien Matériaux'!$A:$A,'Baumaterialien Matériaux'!AH:AH,0,0)</f>
        <v>0</v>
      </c>
      <c r="U203" s="1409"/>
      <c r="V203" s="1785">
        <f t="shared" si="66"/>
        <v>0</v>
      </c>
      <c r="W203" s="1409"/>
      <c r="X203" s="1409"/>
      <c r="Y203" s="1409"/>
      <c r="Z203" s="1409"/>
    </row>
    <row r="204" spans="1:26" s="159" customFormat="1">
      <c r="A204" s="159">
        <f t="shared" si="67"/>
        <v>0</v>
      </c>
      <c r="G204" s="604"/>
      <c r="K204" s="605"/>
      <c r="L204" s="605"/>
      <c r="M204" s="605"/>
      <c r="N204" s="605"/>
      <c r="O204" s="605"/>
      <c r="P204" s="605"/>
      <c r="Q204" s="605"/>
      <c r="V204" s="1785">
        <f t="shared" si="66"/>
        <v>0</v>
      </c>
    </row>
    <row r="205" spans="1:26" s="538" customFormat="1">
      <c r="A205" s="1236" t="str">
        <f t="shared" si="67"/>
        <v>XPS</v>
      </c>
      <c r="B205" s="166"/>
      <c r="C205" s="538" t="s">
        <v>580</v>
      </c>
      <c r="D205" s="538" t="str">
        <f>VLOOKUP(G205,'Baumaterialien Matériaux'!$A$10:$AD$432,30,FALSE)</f>
        <v>Polystyrène extrudé (XPS)</v>
      </c>
      <c r="E205" s="1785"/>
      <c r="F205" s="538" t="str">
        <f>VLOOKUP(G205,'Baumaterialien Matériaux'!$A$10:$AD$432,7,FALSE)</f>
        <v>kg</v>
      </c>
      <c r="G205" s="561" t="s">
        <v>581</v>
      </c>
      <c r="H205" s="539">
        <f>33*0.2</f>
        <v>6.6000000000000005</v>
      </c>
      <c r="J205" s="538">
        <v>30</v>
      </c>
      <c r="K205" s="539">
        <f>$H205*_xlfn.XLOOKUP($G205,'Baumaterialien Matériaux'!$A:$A,'Baumaterialien Matériaux'!V:V,0,0)</f>
        <v>192.72</v>
      </c>
      <c r="L205" s="539">
        <f>$H205*_xlfn.XLOOKUP($G205,'Baumaterialien Matériaux'!$A:$A,'Baumaterialien Matériaux'!Y:Y,0,0)</f>
        <v>1.3332000000000002</v>
      </c>
      <c r="M205" s="539">
        <f>$H205*_xlfn.XLOOKUP($G205,'Baumaterialien Matériaux'!$A:$A,'Baumaterialien Matériaux'!AA:AA,0,0)</f>
        <v>74.580000000000013</v>
      </c>
      <c r="N205" s="539">
        <f>$H205*_xlfn.XLOOKUP($G205,'Baumaterialien Matériaux'!$A:$A,'Baumaterialien Matériaux'!AB:AB,0,0)</f>
        <v>20.394000000000002</v>
      </c>
      <c r="O205" s="539">
        <f>$H205*_xlfn.XLOOKUP($G205,'Baumaterialien Matériaux'!$A:$A,'Baumaterialien Matériaux'!AC:AC,0,0)*44/12</f>
        <v>0</v>
      </c>
      <c r="P205" s="539">
        <f>$H205*_xlfn.XLOOKUP($G205,'Baumaterialien Matériaux'!$A:$A,'Baumaterialien Matériaux'!AG:AG,0,0)</f>
        <v>0</v>
      </c>
      <c r="Q205" s="539">
        <f>$H205*_xlfn.XLOOKUP($G205,'Baumaterialien Matériaux'!$A:$A,'Baumaterialien Matériaux'!AH:AH,0,0)</f>
        <v>0</v>
      </c>
      <c r="U205" s="1785"/>
      <c r="V205" s="1785">
        <f t="shared" si="66"/>
        <v>0</v>
      </c>
      <c r="W205" s="1785"/>
      <c r="X205" s="1785"/>
      <c r="Y205" s="1785"/>
      <c r="Z205" s="1785"/>
    </row>
    <row r="206" spans="1:26" s="159" customFormat="1">
      <c r="A206" s="159">
        <f t="shared" si="67"/>
        <v>0</v>
      </c>
      <c r="G206" s="604"/>
      <c r="K206" s="605"/>
      <c r="L206" s="605"/>
      <c r="M206" s="605"/>
      <c r="N206" s="605"/>
      <c r="O206" s="605"/>
      <c r="P206" s="605"/>
      <c r="Q206" s="605"/>
      <c r="V206" s="1785">
        <f t="shared" si="66"/>
        <v>0</v>
      </c>
    </row>
    <row r="207" spans="1:26" s="166" customFormat="1">
      <c r="A207" s="163" t="str">
        <f t="shared" si="67"/>
        <v>PUR</v>
      </c>
      <c r="B207" s="166" t="s">
        <v>778</v>
      </c>
      <c r="C207" s="521" t="s">
        <v>779</v>
      </c>
      <c r="D207" s="166" t="str">
        <f>VLOOKUP(G207,'Baumaterialien Matériaux'!$A$10:$AD$432,30,FALSE)</f>
        <v>Polyuréthane (PUR/PIR)</v>
      </c>
      <c r="E207" s="1403"/>
      <c r="F207" s="166" t="s">
        <v>268</v>
      </c>
      <c r="G207" s="1055" t="s">
        <v>780</v>
      </c>
      <c r="H207" s="167">
        <f>30*0.16</f>
        <v>4.8</v>
      </c>
      <c r="J207" s="535">
        <v>40</v>
      </c>
      <c r="K207" s="843">
        <f>$H207*_xlfn.XLOOKUP($G207,'Baumaterialien Matériaux'!$A:$A,'Baumaterialien Matériaux'!V:V,0,0)</f>
        <v>141.6</v>
      </c>
      <c r="L207" s="843">
        <f>$H207*_xlfn.XLOOKUP($G207,'Baumaterialien Matériaux'!$A:$A,'Baumaterialien Matériaux'!Y:Y,0,0)</f>
        <v>3.2736000000000001</v>
      </c>
      <c r="M207" s="843">
        <f>$H207*_xlfn.XLOOKUP($G207,'Baumaterialien Matériaux'!$A:$A,'Baumaterialien Matériaux'!AA:AA,0,0)</f>
        <v>22.992000000000001</v>
      </c>
      <c r="N207" s="843">
        <f>$H207*_xlfn.XLOOKUP($G207,'Baumaterialien Matériaux'!$A:$A,'Baumaterialien Matériaux'!AB:AB,0,0)</f>
        <v>12.719999999999999</v>
      </c>
      <c r="O207" s="843">
        <f>$H207*_xlfn.XLOOKUP($G207,'Baumaterialien Matériaux'!$A:$A,'Baumaterialien Matériaux'!AC:AC,0,0)*44/12</f>
        <v>0</v>
      </c>
      <c r="P207" s="843">
        <f>$H207*_xlfn.XLOOKUP($G207,'Baumaterialien Matériaux'!$A:$A,'Baumaterialien Matériaux'!AG:AG,0,0)</f>
        <v>0</v>
      </c>
      <c r="Q207" s="843">
        <f>$H207*_xlfn.XLOOKUP($G207,'Baumaterialien Matériaux'!$A:$A,'Baumaterialien Matériaux'!AH:AH,0,0)</f>
        <v>0</v>
      </c>
      <c r="U207" s="1403"/>
      <c r="V207" s="1785">
        <f t="shared" si="66"/>
        <v>0</v>
      </c>
      <c r="W207" s="1403"/>
      <c r="X207" s="1403"/>
      <c r="Y207" s="1403"/>
      <c r="Z207" s="1403"/>
    </row>
    <row r="208" spans="1:26" s="1818" customFormat="1">
      <c r="A208" s="1817"/>
      <c r="C208" s="1819"/>
      <c r="G208" s="1820"/>
      <c r="H208" s="1821"/>
      <c r="J208" s="1822"/>
      <c r="K208" s="1823"/>
      <c r="L208" s="1823"/>
      <c r="M208" s="1823"/>
      <c r="N208" s="1823"/>
      <c r="O208" s="1823"/>
      <c r="P208" s="1823"/>
      <c r="Q208" s="1823"/>
      <c r="V208" s="1785"/>
    </row>
    <row r="209" spans="1:86" s="1818" customFormat="1">
      <c r="A209" s="1817" t="str">
        <f>A196</f>
        <v>non-isolées</v>
      </c>
      <c r="B209" s="1817" t="str">
        <f t="shared" ref="B209:V209" si="68">B196</f>
        <v>-</v>
      </c>
      <c r="C209" s="1817" t="str">
        <f t="shared" si="68"/>
        <v>-</v>
      </c>
      <c r="D209" s="1817" t="str">
        <f t="shared" si="68"/>
        <v>-</v>
      </c>
      <c r="E209" s="1817">
        <f t="shared" si="68"/>
        <v>0</v>
      </c>
      <c r="F209" s="1817">
        <f t="shared" si="68"/>
        <v>0</v>
      </c>
      <c r="G209" s="1817">
        <f t="shared" si="68"/>
        <v>0</v>
      </c>
      <c r="H209" s="1817">
        <f t="shared" si="68"/>
        <v>0</v>
      </c>
      <c r="I209" s="1817">
        <f t="shared" si="68"/>
        <v>0</v>
      </c>
      <c r="J209" s="1817">
        <f t="shared" si="68"/>
        <v>30</v>
      </c>
      <c r="K209" s="1817">
        <f t="shared" si="68"/>
        <v>0</v>
      </c>
      <c r="L209" s="1817">
        <f t="shared" si="68"/>
        <v>0</v>
      </c>
      <c r="M209" s="1817">
        <f t="shared" si="68"/>
        <v>0</v>
      </c>
      <c r="N209" s="1817">
        <f t="shared" si="68"/>
        <v>0</v>
      </c>
      <c r="O209" s="1817">
        <f t="shared" si="68"/>
        <v>0</v>
      </c>
      <c r="P209" s="1817">
        <f t="shared" si="68"/>
        <v>0</v>
      </c>
      <c r="Q209" s="1817">
        <f t="shared" si="68"/>
        <v>0</v>
      </c>
      <c r="R209" s="1817">
        <f t="shared" si="68"/>
        <v>0</v>
      </c>
      <c r="S209" s="1817">
        <f t="shared" si="68"/>
        <v>0</v>
      </c>
      <c r="T209" s="1817">
        <f t="shared" si="68"/>
        <v>0</v>
      </c>
      <c r="U209" s="1817">
        <f t="shared" si="68"/>
        <v>0</v>
      </c>
      <c r="V209" s="1817">
        <f t="shared" si="68"/>
        <v>0</v>
      </c>
    </row>
    <row r="210" spans="1:86">
      <c r="A210" s="159"/>
      <c r="C210" s="138"/>
      <c r="G210" s="1061"/>
      <c r="H210" s="126"/>
      <c r="J210" s="1062"/>
      <c r="K210" s="1063"/>
      <c r="L210" s="1063"/>
      <c r="M210" s="1063"/>
      <c r="N210" s="1063"/>
      <c r="O210" s="1063"/>
      <c r="P210" s="1063"/>
      <c r="Q210" s="1063"/>
      <c r="V210" s="1785">
        <f t="shared" si="66"/>
        <v>0</v>
      </c>
    </row>
    <row r="211" spans="1:86" s="134" customFormat="1" ht="15">
      <c r="A211" s="132" t="s">
        <v>784</v>
      </c>
      <c r="B211" s="132"/>
      <c r="C211" s="132"/>
      <c r="D211" s="132"/>
      <c r="E211" s="132"/>
      <c r="F211" s="132"/>
      <c r="G211" s="504"/>
      <c r="H211" s="132"/>
      <c r="I211" s="132"/>
      <c r="K211" s="804"/>
      <c r="L211" s="804"/>
      <c r="M211" s="804"/>
      <c r="N211" s="804"/>
      <c r="O211" s="804"/>
      <c r="P211" s="804"/>
      <c r="Q211" s="804"/>
      <c r="V211" s="1785">
        <f t="shared" si="66"/>
        <v>0</v>
      </c>
    </row>
    <row r="212" spans="1:86" s="149" customFormat="1">
      <c r="A212" s="1176" t="s">
        <v>785</v>
      </c>
      <c r="B212" s="1940" t="s">
        <v>786</v>
      </c>
      <c r="C212" s="166" t="s">
        <v>787</v>
      </c>
      <c r="D212" s="166" t="str">
        <f>VLOOKUP(G212,'Baumaterialien Matériaux'!$A$10:$AD$432,30,FALSE)</f>
        <v>Béton pour bâtiment (sans armature)</v>
      </c>
      <c r="E212" s="1403"/>
      <c r="F212" s="166" t="str">
        <f>VLOOKUP(G212,'Baumaterialien Matériaux'!$A$10:$AD$432,7,FALSE)</f>
        <v>kg</v>
      </c>
      <c r="G212" s="279" t="s">
        <v>570</v>
      </c>
      <c r="H212" s="167">
        <f>1/3*0.2^2*1*(1-300/7850)*2300</f>
        <v>29.49469214437368</v>
      </c>
      <c r="I212" s="166"/>
      <c r="J212" s="535">
        <v>60</v>
      </c>
      <c r="K212" s="843">
        <f>$H212*_xlfn.XLOOKUP($G212,'Baumaterialien Matériaux'!$A:$A,'Baumaterialien Matériaux'!V:V,0,0)</f>
        <v>3.6278471337579625</v>
      </c>
      <c r="L212" s="843">
        <f>$H212*_xlfn.XLOOKUP($G212,'Baumaterialien Matériaux'!$A:$A,'Baumaterialien Matériaux'!Y:Y,0,0)</f>
        <v>1.5130777070063697</v>
      </c>
      <c r="M212" s="843">
        <f>$H212*_xlfn.XLOOKUP($G212,'Baumaterialien Matériaux'!$A:$A,'Baumaterialien Matériaux'!AA:AA,0,0)</f>
        <v>2.6161791932059453</v>
      </c>
      <c r="N212" s="843">
        <f>$H212*_xlfn.XLOOKUP($G212,'Baumaterialien Matériaux'!$A:$A,'Baumaterialien Matériaux'!AB:AB,0,0)</f>
        <v>0.37163312101910839</v>
      </c>
      <c r="O212" s="843">
        <f>$H212*_xlfn.XLOOKUP($G212,'Baumaterialien Matériaux'!$A:$A,'Baumaterialien Matériaux'!AC:AC,0,0)*44/12</f>
        <v>0</v>
      </c>
      <c r="P212" s="843">
        <f>$H212*_xlfn.XLOOKUP($G212,'Baumaterialien Matériaux'!$A:$A,'Baumaterialien Matériaux'!AG:AG,0,0)</f>
        <v>0</v>
      </c>
      <c r="Q212" s="843">
        <f>$H212*_xlfn.XLOOKUP($G212,'Baumaterialien Matériaux'!$A:$A,'Baumaterialien Matériaux'!AH:AH,0,0)</f>
        <v>0</v>
      </c>
      <c r="R212" s="3"/>
      <c r="S212" s="3"/>
      <c r="T212" s="3"/>
      <c r="U212" s="3"/>
      <c r="V212" s="1785">
        <f t="shared" si="66"/>
        <v>0</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row>
    <row r="213" spans="1:86">
      <c r="A213" s="585"/>
      <c r="B213" s="1940"/>
      <c r="C213" s="166" t="s">
        <v>614</v>
      </c>
      <c r="D213" s="166" t="str">
        <f>VLOOKUP(G213,'Baumaterialien Matériaux'!$A$10:$AD$432,30,FALSE)</f>
        <v>Acier d'armature</v>
      </c>
      <c r="E213" s="1403"/>
      <c r="F213" s="166" t="str">
        <f>VLOOKUP(G213,'Baumaterialien Matériaux'!$A$10:$AD$432,7,FALSE)</f>
        <v>kg</v>
      </c>
      <c r="G213" s="279" t="s">
        <v>572</v>
      </c>
      <c r="H213" s="167">
        <f>1/3*0.2^2*1*300</f>
        <v>4.0000000000000009</v>
      </c>
      <c r="I213" s="166"/>
      <c r="J213" s="535">
        <v>60</v>
      </c>
      <c r="K213" s="843">
        <f>$H213*_xlfn.XLOOKUP($G213,'Baumaterialien Matériaux'!$A:$A,'Baumaterialien Matériaux'!V:V,0,0)</f>
        <v>13.560000000000004</v>
      </c>
      <c r="L213" s="843">
        <f>$H213*_xlfn.XLOOKUP($G213,'Baumaterialien Matériaux'!$A:$A,'Baumaterialien Matériaux'!Y:Y,0,0)</f>
        <v>0.20200000000000007</v>
      </c>
      <c r="M213" s="843">
        <f>$H213*_xlfn.XLOOKUP($G213,'Baumaterialien Matériaux'!$A:$A,'Baumaterialien Matériaux'!AA:AA,0,0)</f>
        <v>3.092000000000001</v>
      </c>
      <c r="N213" s="843">
        <f>$H213*_xlfn.XLOOKUP($G213,'Baumaterialien Matériaux'!$A:$A,'Baumaterialien Matériaux'!AB:AB,0,0)</f>
        <v>4.8800000000000017E-2</v>
      </c>
      <c r="O213" s="843">
        <f>$H213*_xlfn.XLOOKUP($G213,'Baumaterialien Matériaux'!$A:$A,'Baumaterialien Matériaux'!AC:AC,0,0)*44/12</f>
        <v>0</v>
      </c>
      <c r="P213" s="843">
        <f>$H213*_xlfn.XLOOKUP($G213,'Baumaterialien Matériaux'!$A:$A,'Baumaterialien Matériaux'!AG:AG,0,0)</f>
        <v>0</v>
      </c>
      <c r="Q213" s="843">
        <f>$H213*_xlfn.XLOOKUP($G213,'Baumaterialien Matériaux'!$A:$A,'Baumaterialien Matériaux'!AH:AH,0,0)</f>
        <v>0</v>
      </c>
      <c r="V213" s="1785">
        <f t="shared" si="66"/>
        <v>0</v>
      </c>
    </row>
    <row r="214" spans="1:86">
      <c r="A214" s="585"/>
      <c r="B214" s="1940"/>
      <c r="C214" s="166" t="s">
        <v>732</v>
      </c>
      <c r="D214" s="166" t="str">
        <f>VLOOKUP(G214,'Baumaterialien Matériaux'!$A$10:$AD$432,30,FALSE)</f>
        <v>Bois massif 3 et 5 plis</v>
      </c>
      <c r="E214" s="1403"/>
      <c r="F214" s="166" t="str">
        <f>VLOOKUP(G214,'Baumaterialien Matériaux'!$A$10:$AD$432,7,FALSE)</f>
        <v>kg</v>
      </c>
      <c r="G214" s="279" t="s">
        <v>590</v>
      </c>
      <c r="H214" s="167">
        <f>4*0.2*1/3/5*0.025*470</f>
        <v>0.62666666666666659</v>
      </c>
      <c r="I214" s="166"/>
      <c r="J214" s="535">
        <v>60</v>
      </c>
      <c r="K214" s="843">
        <f>$H214*_xlfn.XLOOKUP($G214,'Baumaterialien Matériaux'!$A:$A,'Baumaterialien Matériaux'!V:V,0,0)</f>
        <v>1.3097333333333332</v>
      </c>
      <c r="L214" s="843">
        <f>$H214*_xlfn.XLOOKUP($G214,'Baumaterialien Matériaux'!$A:$A,'Baumaterialien Matériaux'!Y:Y,0,0)</f>
        <v>5.7841333333333321E-2</v>
      </c>
      <c r="M214" s="843">
        <f>$H214*_xlfn.XLOOKUP($G214,'Baumaterialien Matériaux'!$A:$A,'Baumaterialien Matériaux'!AA:AA,0,0)</f>
        <v>0.25943999999999995</v>
      </c>
      <c r="N214" s="843">
        <f>$H214*_xlfn.XLOOKUP($G214,'Baumaterialien Matériaux'!$A:$A,'Baumaterialien Matériaux'!AB:AB,0,0)</f>
        <v>3.4654666666666667E-2</v>
      </c>
      <c r="O214" s="843">
        <f>$H214*_xlfn.XLOOKUP($G214,'Baumaterialien Matériaux'!$A:$A,'Baumaterialien Matériaux'!AC:AC,0,0)*44/12</f>
        <v>0.99493777777777759</v>
      </c>
      <c r="P214" s="843">
        <f>$H214*_xlfn.XLOOKUP($G214,'Baumaterialien Matériaux'!$A:$A,'Baumaterialien Matériaux'!AG:AG,0,0)</f>
        <v>0</v>
      </c>
      <c r="Q214" s="843">
        <f>$H214*_xlfn.XLOOKUP($G214,'Baumaterialien Matériaux'!$A:$A,'Baumaterialien Matériaux'!AH:AH,0,0)</f>
        <v>0</v>
      </c>
      <c r="V214" s="1785">
        <f t="shared" si="66"/>
        <v>0</v>
      </c>
    </row>
    <row r="215" spans="1:86" s="572" customFormat="1" ht="15.75" thickBot="1">
      <c r="A215" s="587"/>
      <c r="G215" s="573"/>
      <c r="J215" s="586">
        <v>60</v>
      </c>
      <c r="K215" s="574">
        <f t="shared" ref="K215:L215" si="69">SUM(K212:K214)</f>
        <v>18.4975804670913</v>
      </c>
      <c r="L215" s="574">
        <f t="shared" si="69"/>
        <v>1.7729190403397033</v>
      </c>
      <c r="M215" s="574">
        <f t="shared" ref="M215:O215" si="70">SUM(M212:M214)</f>
        <v>5.9676191932059464</v>
      </c>
      <c r="N215" s="574">
        <f t="shared" si="70"/>
        <v>0.45508778768577507</v>
      </c>
      <c r="O215" s="574">
        <f t="shared" si="70"/>
        <v>0.99493777777777759</v>
      </c>
      <c r="P215" s="574">
        <f t="shared" ref="P215:Q215" si="71">SUM(P212:P214)</f>
        <v>0</v>
      </c>
      <c r="Q215" s="574">
        <f t="shared" si="71"/>
        <v>0</v>
      </c>
      <c r="R215" s="3"/>
      <c r="S215" s="540">
        <f>(M215+N215)/J214</f>
        <v>0.10704511634819536</v>
      </c>
      <c r="T215" s="3"/>
      <c r="U215" s="3"/>
      <c r="V215" s="1785">
        <f t="shared" si="66"/>
        <v>0</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row>
    <row r="216" spans="1:86" ht="15" thickTop="1">
      <c r="K216" s="126"/>
      <c r="L216" s="126"/>
      <c r="M216" s="126"/>
      <c r="N216" s="126"/>
      <c r="O216" s="126"/>
      <c r="P216" s="126"/>
      <c r="Q216" s="126"/>
      <c r="V216" s="1785">
        <f t="shared" si="66"/>
        <v>0</v>
      </c>
    </row>
    <row r="217" spans="1:86" s="149" customFormat="1">
      <c r="A217" s="1176" t="s">
        <v>788</v>
      </c>
      <c r="B217" s="1940" t="s">
        <v>789</v>
      </c>
      <c r="C217" s="166" t="s">
        <v>790</v>
      </c>
      <c r="D217" s="166" t="str">
        <f>VLOOKUP(G217,'Baumaterialien Matériaux'!$A$10:$AD$432,30,FALSE)</f>
        <v>Élément préfabriqué en béton, béton normal, sortie d'usine</v>
      </c>
      <c r="E217" s="1403"/>
      <c r="F217" s="166" t="str">
        <f>VLOOKUP(G217,'Baumaterialien Matériaux'!$A$10:$AD$432,7,FALSE)</f>
        <v>kg</v>
      </c>
      <c r="G217" s="279" t="s">
        <v>791</v>
      </c>
      <c r="H217" s="167">
        <f>1/3*0.2^2*1*(1-250/7850)*2500</f>
        <v>32.271762208067948</v>
      </c>
      <c r="I217" s="166"/>
      <c r="J217" s="535">
        <v>60</v>
      </c>
      <c r="K217" s="843">
        <f>$H217*_xlfn.XLOOKUP($G217,'Baumaterialien Matériaux'!$A:$A,'Baumaterialien Matériaux'!V:V,0,0)</f>
        <v>12.360084925690025</v>
      </c>
      <c r="L217" s="843">
        <f>$H217*_xlfn.XLOOKUP($G217,'Baumaterialien Matériaux'!$A:$A,'Baumaterialien Matériaux'!Y:Y,0,0)</f>
        <v>1.5974522292993636</v>
      </c>
      <c r="M217" s="843">
        <f>$H217*_xlfn.XLOOKUP($G217,'Baumaterialien Matériaux'!$A:$A,'Baumaterialien Matériaux'!AA:AA,0,0)</f>
        <v>5.3248407643312117</v>
      </c>
      <c r="N217" s="843">
        <f>$H217*_xlfn.XLOOKUP($G217,'Baumaterialien Matériaux'!$A:$A,'Baumaterialien Matériaux'!AB:AB,0,0)</f>
        <v>0.39048832271762213</v>
      </c>
      <c r="O217" s="843">
        <f>$H217*_xlfn.XLOOKUP($G217,'Baumaterialien Matériaux'!$A:$A,'Baumaterialien Matériaux'!AC:AC,0,0)*44/12</f>
        <v>0</v>
      </c>
      <c r="P217" s="843">
        <f>$H217*_xlfn.XLOOKUP($G217,'Baumaterialien Matériaux'!$A:$A,'Baumaterialien Matériaux'!AG:AG,0,0)</f>
        <v>0</v>
      </c>
      <c r="Q217" s="843">
        <f>$H217*_xlfn.XLOOKUP($G217,'Baumaterialien Matériaux'!$A:$A,'Baumaterialien Matériaux'!AH:AH,0,0)</f>
        <v>0</v>
      </c>
      <c r="R217" s="3"/>
      <c r="S217" s="3"/>
      <c r="T217" s="3"/>
      <c r="U217" s="3"/>
      <c r="V217" s="1785">
        <f t="shared" si="66"/>
        <v>0</v>
      </c>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row>
    <row r="218" spans="1:86">
      <c r="A218" s="585"/>
      <c r="B218" s="1940"/>
      <c r="C218" s="166" t="s">
        <v>614</v>
      </c>
      <c r="D218" s="166" t="str">
        <f>VLOOKUP(G218,'Baumaterialien Matériaux'!$A$10:$AD$432,30,FALSE)</f>
        <v>Acier d'armature</v>
      </c>
      <c r="E218" s="1403"/>
      <c r="F218" s="166" t="str">
        <f>VLOOKUP(G218,'Baumaterialien Matériaux'!$A$10:$AD$432,7,FALSE)</f>
        <v>kg</v>
      </c>
      <c r="G218" s="279" t="s">
        <v>572</v>
      </c>
      <c r="H218" s="167">
        <f>1/3*0.3^2*1*250</f>
        <v>7.5</v>
      </c>
      <c r="I218" s="166"/>
      <c r="J218" s="535">
        <v>60</v>
      </c>
      <c r="K218" s="843">
        <f>$H218*_xlfn.XLOOKUP($G218,'Baumaterialien Matériaux'!$A:$A,'Baumaterialien Matériaux'!V:V,0,0)</f>
        <v>25.425000000000001</v>
      </c>
      <c r="L218" s="843">
        <f>$H218*_xlfn.XLOOKUP($G218,'Baumaterialien Matériaux'!$A:$A,'Baumaterialien Matériaux'!Y:Y,0,0)</f>
        <v>0.37875000000000003</v>
      </c>
      <c r="M218" s="843">
        <f>$H218*_xlfn.XLOOKUP($G218,'Baumaterialien Matériaux'!$A:$A,'Baumaterialien Matériaux'!AA:AA,0,0)</f>
        <v>5.7975000000000003</v>
      </c>
      <c r="N218" s="843">
        <f>$H218*_xlfn.XLOOKUP($G218,'Baumaterialien Matériaux'!$A:$A,'Baumaterialien Matériaux'!AB:AB,0,0)</f>
        <v>9.1500000000000012E-2</v>
      </c>
      <c r="O218" s="843">
        <f>$H218*_xlfn.XLOOKUP($G218,'Baumaterialien Matériaux'!$A:$A,'Baumaterialien Matériaux'!AC:AC,0,0)*44/12</f>
        <v>0</v>
      </c>
      <c r="P218" s="843">
        <f>$H218*_xlfn.XLOOKUP($G218,'Baumaterialien Matériaux'!$A:$A,'Baumaterialien Matériaux'!AG:AG,0,0)</f>
        <v>0</v>
      </c>
      <c r="Q218" s="843">
        <f>$H218*_xlfn.XLOOKUP($G218,'Baumaterialien Matériaux'!$A:$A,'Baumaterialien Matériaux'!AH:AH,0,0)</f>
        <v>0</v>
      </c>
      <c r="V218" s="1785">
        <f t="shared" si="66"/>
        <v>0</v>
      </c>
    </row>
    <row r="219" spans="1:86">
      <c r="A219" s="585"/>
      <c r="B219" s="1940"/>
      <c r="C219" s="166" t="s">
        <v>732</v>
      </c>
      <c r="D219" s="166" t="str">
        <f>VLOOKUP(G219,'Baumaterialien Matériaux'!$A$10:$AD$432,30,FALSE)</f>
        <v>Bois massif 3 et 5 plis</v>
      </c>
      <c r="E219" s="1403"/>
      <c r="F219" s="166" t="str">
        <f>VLOOKUP(G219,'Baumaterialien Matériaux'!$A$10:$AD$432,7,FALSE)</f>
        <v>kg</v>
      </c>
      <c r="G219" s="279" t="s">
        <v>590</v>
      </c>
      <c r="H219" s="167">
        <f>4*0.2*1/3/5*0.025*470</f>
        <v>0.62666666666666659</v>
      </c>
      <c r="I219" s="166"/>
      <c r="J219" s="535">
        <v>60</v>
      </c>
      <c r="K219" s="843">
        <f>$H219*_xlfn.XLOOKUP($G219,'Baumaterialien Matériaux'!$A:$A,'Baumaterialien Matériaux'!V:V,0,0)</f>
        <v>1.3097333333333332</v>
      </c>
      <c r="L219" s="843">
        <f>$H219*_xlfn.XLOOKUP($G219,'Baumaterialien Matériaux'!$A:$A,'Baumaterialien Matériaux'!Y:Y,0,0)</f>
        <v>5.7841333333333321E-2</v>
      </c>
      <c r="M219" s="843">
        <f>$H219*_xlfn.XLOOKUP($G219,'Baumaterialien Matériaux'!$A:$A,'Baumaterialien Matériaux'!AA:AA,0,0)</f>
        <v>0.25943999999999995</v>
      </c>
      <c r="N219" s="843">
        <f>$H219*_xlfn.XLOOKUP($G219,'Baumaterialien Matériaux'!$A:$A,'Baumaterialien Matériaux'!AB:AB,0,0)</f>
        <v>3.4654666666666667E-2</v>
      </c>
      <c r="O219" s="843">
        <f>$H219*_xlfn.XLOOKUP($G219,'Baumaterialien Matériaux'!$A:$A,'Baumaterialien Matériaux'!AC:AC,0,0)*44/12</f>
        <v>0.99493777777777759</v>
      </c>
      <c r="P219" s="843">
        <f>$H219*_xlfn.XLOOKUP($G219,'Baumaterialien Matériaux'!$A:$A,'Baumaterialien Matériaux'!AG:AG,0,0)</f>
        <v>0</v>
      </c>
      <c r="Q219" s="843">
        <f>$H219*_xlfn.XLOOKUP($G219,'Baumaterialien Matériaux'!$A:$A,'Baumaterialien Matériaux'!AH:AH,0,0)</f>
        <v>0</v>
      </c>
      <c r="V219" s="1785">
        <f t="shared" si="66"/>
        <v>0</v>
      </c>
    </row>
    <row r="220" spans="1:86" s="572" customFormat="1" ht="15.75" thickBot="1">
      <c r="A220" s="587"/>
      <c r="G220" s="573"/>
      <c r="J220" s="586">
        <v>60</v>
      </c>
      <c r="K220" s="574">
        <f t="shared" ref="K220:L220" si="72">SUM(K217:K219)</f>
        <v>39.094818259023363</v>
      </c>
      <c r="L220" s="574">
        <f t="shared" si="72"/>
        <v>2.0340435626326969</v>
      </c>
      <c r="M220" s="574">
        <f t="shared" ref="M220:O220" si="73">SUM(M217:M219)</f>
        <v>11.381780764331213</v>
      </c>
      <c r="N220" s="574">
        <f t="shared" si="73"/>
        <v>0.51664298938428876</v>
      </c>
      <c r="O220" s="574">
        <f t="shared" si="73"/>
        <v>0.99493777777777759</v>
      </c>
      <c r="P220" s="574">
        <f t="shared" ref="P220:Q220" si="74">SUM(P217:P219)</f>
        <v>0</v>
      </c>
      <c r="Q220" s="574">
        <f t="shared" si="74"/>
        <v>0</v>
      </c>
      <c r="R220" s="3"/>
      <c r="S220" s="540">
        <f>(M220+N220)/J219</f>
        <v>0.19830706256192504</v>
      </c>
      <c r="T220" s="3"/>
      <c r="U220" s="3"/>
      <c r="V220" s="1785">
        <f t="shared" si="66"/>
        <v>0</v>
      </c>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row>
    <row r="221" spans="1:86" ht="15" thickTop="1"/>
    <row r="223" spans="1:86" s="134" customFormat="1" ht="15">
      <c r="A223" s="132"/>
      <c r="B223" s="132"/>
      <c r="C223" s="132"/>
      <c r="D223" s="132"/>
      <c r="E223" s="132"/>
      <c r="F223" s="132"/>
      <c r="G223" s="504"/>
      <c r="H223" s="132"/>
      <c r="I223" s="132"/>
      <c r="K223" s="1083"/>
      <c r="L223" s="1083"/>
    </row>
  </sheetData>
  <customSheetViews>
    <customSheetView guid="{B32447E2-AB5B-4CBB-881B-FF11349CA4D6}" scale="70" topLeftCell="B1">
      <pane ySplit="1" topLeftCell="A2" activePane="bottomLeft" state="frozen"/>
      <selection pane="bottomLeft" activeCell="Y3" sqref="Y3"/>
      <pageMargins left="0" right="0" top="0" bottom="0" header="0" footer="0"/>
      <pageSetup paperSize="9" orientation="portrait" r:id="rId1"/>
    </customSheetView>
    <customSheetView guid="{9FA74287-E657-475B-BF4B-3C8C757714AE}" scale="70" topLeftCell="B1">
      <pane ySplit="1" topLeftCell="A2" activePane="bottomLeft" state="frozen"/>
      <selection pane="bottomLeft" activeCell="Y3" sqref="Y3"/>
      <pageMargins left="0" right="0" top="0" bottom="0" header="0" footer="0"/>
      <pageSetup paperSize="9" orientation="portrait" r:id="rId2"/>
    </customSheetView>
    <customSheetView guid="{54A7C567-FA7D-467E-B353-ECB5E61AE756}" topLeftCell="B10">
      <selection activeCell="T13" sqref="T1:AS1048576"/>
      <pageMargins left="0" right="0" top="0" bottom="0" header="0" footer="0"/>
      <pageSetup paperSize="9" orientation="portrait" r:id="rId3"/>
    </customSheetView>
  </customSheetViews>
  <mergeCells count="26">
    <mergeCell ref="B165:B169"/>
    <mergeCell ref="B217:B219"/>
    <mergeCell ref="B51:B56"/>
    <mergeCell ref="B20:B22"/>
    <mergeCell ref="B111:B113"/>
    <mergeCell ref="B212:B214"/>
    <mergeCell ref="B96:B98"/>
    <mergeCell ref="B59:B62"/>
    <mergeCell ref="B65:B68"/>
    <mergeCell ref="B71:B74"/>
    <mergeCell ref="B179:B182"/>
    <mergeCell ref="B122:B124"/>
    <mergeCell ref="B132:B134"/>
    <mergeCell ref="B149:B152"/>
    <mergeCell ref="B172:B176"/>
    <mergeCell ref="B127:B128"/>
    <mergeCell ref="B157:B162"/>
    <mergeCell ref="B4:B6"/>
    <mergeCell ref="B12:B13"/>
    <mergeCell ref="B44:B48"/>
    <mergeCell ref="B27:B32"/>
    <mergeCell ref="B35:B41"/>
    <mergeCell ref="B77:B79"/>
    <mergeCell ref="B16:B17"/>
    <mergeCell ref="B106:B108"/>
    <mergeCell ref="B101:B103"/>
  </mergeCells>
  <phoneticPr fontId="68" type="noConversion"/>
  <pageMargins left="0" right="0" top="0" bottom="0" header="0" footer="0"/>
  <pageSetup paperSize="9" orientation="portrait" r:id="rId4"/>
  <drawing r:id="rId5"/>
  <legacyDrawing r:id="rId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7">
    <pageSetUpPr autoPageBreaks="0"/>
  </sheetPr>
  <dimension ref="A1:V191"/>
  <sheetViews>
    <sheetView workbookViewId="0"/>
  </sheetViews>
  <sheetFormatPr baseColWidth="10" defaultColWidth="10.75" defaultRowHeight="15" outlineLevelRow="1" outlineLevelCol="1"/>
  <cols>
    <col min="1" max="1" width="59.75" style="3" bestFit="1" customWidth="1"/>
    <col min="2" max="2" width="47" style="3" customWidth="1"/>
    <col min="3" max="3" width="48.125" style="3" customWidth="1"/>
    <col min="4" max="5" width="19.875" style="3" customWidth="1"/>
    <col min="6" max="6" width="13.25" style="3" customWidth="1"/>
    <col min="7" max="7" width="10.75" style="505"/>
    <col min="8" max="8" width="10.75" style="3"/>
    <col min="9" max="9" width="4.25" style="3" bestFit="1" customWidth="1"/>
    <col min="10" max="10" width="10.75" style="3"/>
    <col min="11" max="11" width="10.5" style="3" customWidth="1"/>
    <col min="12" max="12" width="11.125" style="3" customWidth="1"/>
    <col min="13" max="16" width="10.75" style="3"/>
    <col min="17" max="17" width="10.625" style="133" customWidth="1" outlineLevel="1"/>
    <col min="18" max="18" width="10.75" style="133"/>
    <col min="19" max="19" width="15.625" style="133" bestFit="1" customWidth="1"/>
    <col min="20" max="20" width="10.75" style="134"/>
    <col min="21" max="16384" width="10.75" style="3"/>
  </cols>
  <sheetData>
    <row r="1" spans="1:22" ht="90">
      <c r="B1" s="1" t="s">
        <v>502</v>
      </c>
      <c r="C1" s="1" t="s">
        <v>503</v>
      </c>
      <c r="D1" s="1" t="s">
        <v>504</v>
      </c>
      <c r="E1" s="1" t="s">
        <v>4444</v>
      </c>
      <c r="F1" s="125" t="s">
        <v>505</v>
      </c>
      <c r="G1" s="1" t="s">
        <v>506</v>
      </c>
      <c r="H1" s="125" t="s">
        <v>565</v>
      </c>
      <c r="J1" s="125" t="s">
        <v>508</v>
      </c>
      <c r="K1" s="125" t="s">
        <v>509</v>
      </c>
      <c r="L1" s="125" t="s">
        <v>510</v>
      </c>
      <c r="M1" s="125" t="s">
        <v>511</v>
      </c>
      <c r="N1" s="125" t="s">
        <v>512</v>
      </c>
      <c r="O1" s="125" t="s">
        <v>513</v>
      </c>
      <c r="P1" s="125" t="s">
        <v>514</v>
      </c>
      <c r="Q1" s="125" t="s">
        <v>515</v>
      </c>
      <c r="R1" s="536"/>
      <c r="S1" s="536"/>
      <c r="T1" s="536"/>
      <c r="U1" s="1" t="s">
        <v>4445</v>
      </c>
      <c r="V1" s="1" t="s">
        <v>4446</v>
      </c>
    </row>
    <row r="2" spans="1:22" s="964" customFormat="1" ht="15.75">
      <c r="B2" s="965"/>
      <c r="C2" s="965"/>
      <c r="D2" s="965"/>
      <c r="E2" s="965"/>
      <c r="F2" s="966"/>
      <c r="G2" s="966">
        <v>0</v>
      </c>
      <c r="H2" s="966">
        <v>0</v>
      </c>
      <c r="I2" s="966">
        <v>0</v>
      </c>
      <c r="J2" s="966">
        <v>0</v>
      </c>
      <c r="K2" s="966">
        <v>0</v>
      </c>
      <c r="L2" s="966">
        <v>0</v>
      </c>
      <c r="M2" s="966">
        <v>0</v>
      </c>
      <c r="N2" s="966">
        <v>0</v>
      </c>
      <c r="O2" s="966">
        <v>0</v>
      </c>
      <c r="P2" s="966">
        <v>0</v>
      </c>
      <c r="Q2" s="966">
        <v>0</v>
      </c>
      <c r="R2" s="536"/>
      <c r="S2" s="536"/>
      <c r="T2" s="536"/>
      <c r="U2" s="967"/>
    </row>
    <row r="3" spans="1:22" s="134" customFormat="1" ht="15.75" customHeight="1">
      <c r="A3" s="132" t="s">
        <v>792</v>
      </c>
      <c r="B3" s="132" t="str">
        <f>'Outil détaillé'!D30</f>
        <v>Parois intérieures</v>
      </c>
      <c r="C3" s="132"/>
      <c r="D3" s="132"/>
      <c r="E3" s="132"/>
      <c r="F3" s="132"/>
      <c r="R3" s="133"/>
      <c r="S3" s="133"/>
      <c r="T3" s="668"/>
    </row>
    <row r="4" spans="1:22" ht="15.75" customHeight="1">
      <c r="A4" s="1"/>
      <c r="B4" s="1"/>
      <c r="C4" s="1"/>
      <c r="D4" s="1"/>
      <c r="E4" s="1"/>
      <c r="F4" s="1"/>
      <c r="G4" s="503"/>
      <c r="H4" s="125"/>
      <c r="I4" s="1"/>
      <c r="J4" s="125"/>
      <c r="K4" s="125"/>
      <c r="L4" s="125"/>
      <c r="M4" s="125"/>
      <c r="N4" s="125"/>
      <c r="O4" s="125"/>
      <c r="P4" s="125"/>
      <c r="Q4" s="125"/>
    </row>
    <row r="5" spans="1:22" s="149" customFormat="1" ht="15.75" customHeight="1">
      <c r="A5" s="1096" t="s">
        <v>793</v>
      </c>
      <c r="B5" s="1907" t="s">
        <v>612</v>
      </c>
      <c r="C5" s="137" t="s">
        <v>613</v>
      </c>
      <c r="D5" s="166" t="str">
        <f>VLOOKUP(G5,'Baumaterialien Matériaux'!$A$10:$AD$432,30,FALSE)</f>
        <v>Béton pour bâtiment (sans armature)</v>
      </c>
      <c r="E5" s="1403"/>
      <c r="F5" s="166" t="str">
        <f>_xlfn.XLOOKUP($G5,'Baumaterialien Matériaux'!$A:$A,'Baumaterialien Matériaux'!G:G,0,0)</f>
        <v>kg</v>
      </c>
      <c r="G5" s="279" t="s">
        <v>570</v>
      </c>
      <c r="H5" s="530">
        <f>(0.2-H6/7850)*2300</f>
        <v>454.2866242038217</v>
      </c>
      <c r="I5" s="166"/>
      <c r="J5" s="864">
        <v>60</v>
      </c>
      <c r="K5" s="530">
        <f>$H5*_xlfn.XLOOKUP($G5,'Baumaterialien Matériaux'!$A:$A,'Baumaterialien Matériaux'!V:V,0,0)</f>
        <v>55.877254777070071</v>
      </c>
      <c r="L5" s="530">
        <f>$H5*_xlfn.XLOOKUP($G5,'Baumaterialien Matériaux'!$A:$A,'Baumaterialien Matériaux'!Y:Y,0,0)</f>
        <v>23.304903821656051</v>
      </c>
      <c r="M5" s="530">
        <f>$H5*_xlfn.XLOOKUP($G5,'Baumaterialien Matériaux'!$A:$A,'Baumaterialien Matériaux'!AA:AA,0,0)</f>
        <v>40.295223566878988</v>
      </c>
      <c r="N5" s="530">
        <f>$H5*_xlfn.XLOOKUP($G5,'Baumaterialien Matériaux'!$A:$A,'Baumaterialien Matériaux'!AB:AB,0,0)</f>
        <v>5.7240114649681537</v>
      </c>
      <c r="O5" s="530">
        <f>$H5*_xlfn.XLOOKUP($G5,'Baumaterialien Matériaux'!$A:$A,'Baumaterialien Matériaux'!AC:AC,0,0)*44/12</f>
        <v>0</v>
      </c>
      <c r="P5" s="530">
        <f>$H5*_xlfn.XLOOKUP($G5,'Baumaterialien Matériaux'!$A:$A,'Baumaterialien Matériaux'!AG:AG,0,0)</f>
        <v>0</v>
      </c>
      <c r="Q5" s="1110">
        <f>$H5*_xlfn.XLOOKUP($G5,'Baumaterialien Matériaux'!$A:$A,'Baumaterialien Matériaux'!AH:AH,0,0)</f>
        <v>0</v>
      </c>
      <c r="R5" s="133"/>
      <c r="S5" s="133"/>
      <c r="T5" s="1910"/>
      <c r="U5" s="1095"/>
    </row>
    <row r="6" spans="1:22" ht="15.75" customHeight="1">
      <c r="A6" s="159"/>
      <c r="B6" s="1907"/>
      <c r="C6" s="137" t="s">
        <v>614</v>
      </c>
      <c r="D6" s="166" t="str">
        <f>VLOOKUP(G6,'Baumaterialien Matériaux'!$A$10:$AD$432,30,FALSE)</f>
        <v>Acier d'armature</v>
      </c>
      <c r="E6" s="1403"/>
      <c r="F6" s="166" t="str">
        <f>_xlfn.XLOOKUP($G6,'Baumaterialien Matériaux'!$A:$A,'Baumaterialien Matériaux'!G:G,0,0)</f>
        <v>kg</v>
      </c>
      <c r="G6" s="279" t="s">
        <v>572</v>
      </c>
      <c r="H6" s="530">
        <f>97.5*0.2</f>
        <v>19.5</v>
      </c>
      <c r="I6" s="166"/>
      <c r="J6" s="864">
        <v>60</v>
      </c>
      <c r="K6" s="530">
        <f>$H6*_xlfn.XLOOKUP($G6,'Baumaterialien Matériaux'!$A:$A,'Baumaterialien Matériaux'!V:V,0,0)</f>
        <v>66.105000000000004</v>
      </c>
      <c r="L6" s="530">
        <f>$H6*_xlfn.XLOOKUP($G6,'Baumaterialien Matériaux'!$A:$A,'Baumaterialien Matériaux'!Y:Y,0,0)</f>
        <v>0.98475000000000001</v>
      </c>
      <c r="M6" s="530">
        <f>$H6*_xlfn.XLOOKUP($G6,'Baumaterialien Matériaux'!$A:$A,'Baumaterialien Matériaux'!AA:AA,0,0)</f>
        <v>15.073500000000001</v>
      </c>
      <c r="N6" s="530">
        <f>$H6*_xlfn.XLOOKUP($G6,'Baumaterialien Matériaux'!$A:$A,'Baumaterialien Matériaux'!AB:AB,0,0)</f>
        <v>0.23790000000000003</v>
      </c>
      <c r="O6" s="530">
        <f>$H6*_xlfn.XLOOKUP($G6,'Baumaterialien Matériaux'!$A:$A,'Baumaterialien Matériaux'!AC:AC,0,0)*44/12</f>
        <v>0</v>
      </c>
      <c r="P6" s="530">
        <f>$H6*_xlfn.XLOOKUP($G6,'Baumaterialien Matériaux'!$A:$A,'Baumaterialien Matériaux'!AG:AG,0,0)</f>
        <v>0</v>
      </c>
      <c r="Q6" s="1110">
        <f>$H6*_xlfn.XLOOKUP($G6,'Baumaterialien Matériaux'!$A:$A,'Baumaterialien Matériaux'!AH:AH,0,0)</f>
        <v>0</v>
      </c>
      <c r="T6" s="1910"/>
    </row>
    <row r="7" spans="1:22" ht="15.75" customHeight="1">
      <c r="A7" s="159"/>
      <c r="B7" s="1907"/>
      <c r="C7" s="137" t="s">
        <v>615</v>
      </c>
      <c r="D7" s="166" t="str">
        <f>VLOOKUP(G7,'Baumaterialien Matériaux'!$A$10:$AD$432,30,FALSE)</f>
        <v>Bois massif 3 et 5 plis</v>
      </c>
      <c r="E7" s="1403"/>
      <c r="F7" s="166" t="str">
        <f>_xlfn.XLOOKUP($G7,'Baumaterialien Matériaux'!$A:$A,'Baumaterialien Matériaux'!G:G,0,0)</f>
        <v>kg</v>
      </c>
      <c r="G7" s="279" t="s">
        <v>590</v>
      </c>
      <c r="H7" s="167">
        <f>2/5*0.025*470</f>
        <v>4.7000000000000011</v>
      </c>
      <c r="I7" s="166"/>
      <c r="J7" s="514">
        <v>60</v>
      </c>
      <c r="K7" s="852">
        <f>$H7*_xlfn.XLOOKUP($G7,'Baumaterialien Matériaux'!$A:$A,'Baumaterialien Matériaux'!V:V,0,0)</f>
        <v>9.8230000000000022</v>
      </c>
      <c r="L7" s="852">
        <f>$H7*_xlfn.XLOOKUP($G7,'Baumaterialien Matériaux'!$A:$A,'Baumaterialien Matériaux'!Y:Y,0,0)</f>
        <v>0.43381000000000008</v>
      </c>
      <c r="M7" s="852">
        <f>$H7*_xlfn.XLOOKUP($G7,'Baumaterialien Matériaux'!$A:$A,'Baumaterialien Matériaux'!AA:AA,0,0)</f>
        <v>1.9458000000000004</v>
      </c>
      <c r="N7" s="852">
        <f>$H7*_xlfn.XLOOKUP($G7,'Baumaterialien Matériaux'!$A:$A,'Baumaterialien Matériaux'!AB:AB,0,0)</f>
        <v>0.25991000000000009</v>
      </c>
      <c r="O7" s="852">
        <f>$H7*_xlfn.XLOOKUP($G7,'Baumaterialien Matériaux'!$A:$A,'Baumaterialien Matériaux'!AC:AC,0,0)*44/12</f>
        <v>7.4620333333333342</v>
      </c>
      <c r="P7" s="852">
        <f>$H7*_xlfn.XLOOKUP($G7,'Baumaterialien Matériaux'!$A:$A,'Baumaterialien Matériaux'!AG:AG,0,0)</f>
        <v>0</v>
      </c>
      <c r="Q7" s="1111">
        <f>$H7*_xlfn.XLOOKUP($G7,'Baumaterialien Matériaux'!$A:$A,'Baumaterialien Matériaux'!AH:AH,0,0)</f>
        <v>0</v>
      </c>
      <c r="T7" s="1910"/>
    </row>
    <row r="8" spans="1:22" s="572" customFormat="1" ht="16.5" customHeight="1" thickBot="1">
      <c r="B8" s="619"/>
      <c r="G8" s="573"/>
      <c r="H8" s="612"/>
      <c r="J8" s="865"/>
      <c r="K8" s="853">
        <f t="shared" ref="K8:L8" si="0">SUM(K5:K7)</f>
        <v>131.80525477707008</v>
      </c>
      <c r="L8" s="853">
        <f t="shared" si="0"/>
        <v>24.723463821656054</v>
      </c>
      <c r="M8" s="853">
        <f t="shared" ref="M8:O8" si="1">SUM(M5:M7)</f>
        <v>57.314523566878989</v>
      </c>
      <c r="N8" s="853">
        <f t="shared" si="1"/>
        <v>6.2218214649681531</v>
      </c>
      <c r="O8" s="853">
        <f t="shared" si="1"/>
        <v>7.4620333333333342</v>
      </c>
      <c r="P8" s="853">
        <f t="shared" ref="P8:Q8" si="2">SUM(P5:P7)</f>
        <v>0</v>
      </c>
      <c r="Q8" s="853">
        <f t="shared" si="2"/>
        <v>0</v>
      </c>
      <c r="R8" s="133"/>
      <c r="S8" s="1190">
        <f>(M8+N8)/J7</f>
        <v>1.0589390838641191</v>
      </c>
      <c r="T8" s="805"/>
    </row>
    <row r="9" spans="1:22" ht="16.5" customHeight="1" thickTop="1">
      <c r="H9" s="2"/>
      <c r="J9" s="989"/>
      <c r="K9" s="990"/>
      <c r="L9" s="990"/>
      <c r="M9" s="990"/>
      <c r="N9" s="990"/>
      <c r="O9" s="990"/>
      <c r="P9" s="990"/>
      <c r="Q9" s="990"/>
      <c r="T9" s="805"/>
    </row>
    <row r="10" spans="1:22" s="1095" customFormat="1" ht="16.5" customHeight="1">
      <c r="A10" s="1096" t="s">
        <v>794</v>
      </c>
      <c r="B10" s="1913" t="s">
        <v>795</v>
      </c>
      <c r="C10" s="267" t="s">
        <v>796</v>
      </c>
      <c r="D10" s="163" t="str">
        <f>VLOOKUP(G10,'Baumaterialien Matériaux'!$A$10:$AD$432,30,FALSE)</f>
        <v>Bois massif 3 et 5 plis</v>
      </c>
      <c r="E10" s="1409"/>
      <c r="F10" s="163" t="str">
        <f>VLOOKUP(G10,'Baumaterialien Matériaux'!$A$10:$AD$432,7,FALSE)</f>
        <v>kg</v>
      </c>
      <c r="G10" s="1102" t="s">
        <v>590</v>
      </c>
      <c r="H10" s="259">
        <f>453*0.072*2</f>
        <v>65.231999999999999</v>
      </c>
      <c r="I10" s="1096"/>
      <c r="J10" s="864">
        <v>60</v>
      </c>
      <c r="K10" s="530">
        <f>$H10*_xlfn.XLOOKUP($G10,'Baumaterialien Matériaux'!$A:$A,'Baumaterialien Matériaux'!V:V,0,0)</f>
        <v>136.33488</v>
      </c>
      <c r="L10" s="530">
        <f>$H10*_xlfn.XLOOKUP($G10,'Baumaterialien Matériaux'!$A:$A,'Baumaterialien Matériaux'!Y:Y,0,0)</f>
        <v>6.0209135999999992</v>
      </c>
      <c r="M10" s="530">
        <f>$H10*_xlfn.XLOOKUP($G10,'Baumaterialien Matériaux'!$A:$A,'Baumaterialien Matériaux'!AA:AA,0,0)</f>
        <v>27.006048</v>
      </c>
      <c r="N10" s="530">
        <f>$H10*_xlfn.XLOOKUP($G10,'Baumaterialien Matériaux'!$A:$A,'Baumaterialien Matériaux'!AB:AB,0,0)</f>
        <v>3.6073295999999999</v>
      </c>
      <c r="O10" s="530">
        <f>$H10*_xlfn.XLOOKUP($G10,'Baumaterialien Matériaux'!$A:$A,'Baumaterialien Matériaux'!AC:AC,0,0)*44/12</f>
        <v>103.566672</v>
      </c>
      <c r="P10" s="530">
        <f>$H10*_xlfn.XLOOKUP($G10,'Baumaterialien Matériaux'!$A:$A,'Baumaterialien Matériaux'!AG:AG,0,0)</f>
        <v>0</v>
      </c>
      <c r="Q10" s="1110">
        <f>$H10*_xlfn.XLOOKUP($G10,'Baumaterialien Matériaux'!$A:$A,'Baumaterialien Matériaux'!AH:AH,0,0)</f>
        <v>0</v>
      </c>
      <c r="R10" s="133"/>
      <c r="S10" s="133"/>
      <c r="T10" s="134"/>
    </row>
    <row r="11" spans="1:22" ht="16.5" customHeight="1">
      <c r="A11" s="159"/>
      <c r="B11" s="1915"/>
      <c r="C11" s="267" t="s">
        <v>797</v>
      </c>
      <c r="D11" s="166" t="str">
        <f>VLOOKUP(G11,'Baumaterialien Matériaux'!$A$10:$AD$432,30,FALSE)</f>
        <v>Laine de roche</v>
      </c>
      <c r="E11" s="1403"/>
      <c r="F11" s="166" t="str">
        <f>VLOOKUP(G11,'Baumaterialien Matériaux'!$A$10:$AD$432,7,FALSE)</f>
        <v>kg</v>
      </c>
      <c r="G11" s="1106" t="s">
        <v>699</v>
      </c>
      <c r="H11" s="167">
        <f>0.075*90</f>
        <v>6.75</v>
      </c>
      <c r="I11" s="159"/>
      <c r="J11" s="864">
        <v>60</v>
      </c>
      <c r="K11" s="530">
        <f>$H11*_xlfn.XLOOKUP($G11,'Baumaterialien Matériaux'!$A:$A,'Baumaterialien Matériaux'!V:V,0,0)</f>
        <v>20.925000000000001</v>
      </c>
      <c r="L11" s="530">
        <f>$H11*_xlfn.XLOOKUP($G11,'Baumaterialien Matériaux'!$A:$A,'Baumaterialien Matériaux'!Y:Y,0,0)</f>
        <v>0.89775000000000005</v>
      </c>
      <c r="M11" s="530">
        <f>$H11*_xlfn.XLOOKUP($G11,'Baumaterialien Matériaux'!$A:$A,'Baumaterialien Matériaux'!AA:AA,0,0)</f>
        <v>5.10975</v>
      </c>
      <c r="N11" s="530">
        <f>$H11*_xlfn.XLOOKUP($G11,'Baumaterialien Matériaux'!$A:$A,'Baumaterialien Matériaux'!AB:AB,0,0)</f>
        <v>0.39960000000000001</v>
      </c>
      <c r="O11" s="530">
        <f>$H11*_xlfn.XLOOKUP($G11,'Baumaterialien Matériaux'!$A:$A,'Baumaterialien Matériaux'!AC:AC,0,0)*44/12</f>
        <v>0</v>
      </c>
      <c r="P11" s="530">
        <f>$H11*_xlfn.XLOOKUP($G11,'Baumaterialien Matériaux'!$A:$A,'Baumaterialien Matériaux'!AG:AG,0,0)</f>
        <v>0</v>
      </c>
      <c r="Q11" s="1110">
        <f>$H11*_xlfn.XLOOKUP($G11,'Baumaterialien Matériaux'!$A:$A,'Baumaterialien Matériaux'!AH:AH,0,0)</f>
        <v>0</v>
      </c>
    </row>
    <row r="12" spans="1:22" s="572" customFormat="1" ht="16.5" customHeight="1" thickBot="1">
      <c r="A12" s="590"/>
      <c r="B12" s="1103"/>
      <c r="C12" s="590"/>
      <c r="G12" s="1107"/>
      <c r="H12" s="593"/>
      <c r="I12" s="590"/>
      <c r="J12" s="1104"/>
      <c r="K12" s="856">
        <f t="shared" ref="K12:L12" si="3">SUM(K10:K11)</f>
        <v>157.25988000000001</v>
      </c>
      <c r="L12" s="856">
        <f t="shared" si="3"/>
        <v>6.9186635999999995</v>
      </c>
      <c r="M12" s="856">
        <f t="shared" ref="M12:Q12" si="4">SUM(M10:M11)</f>
        <v>32.115797999999998</v>
      </c>
      <c r="N12" s="856">
        <f t="shared" si="4"/>
        <v>4.0069296000000003</v>
      </c>
      <c r="O12" s="856">
        <f t="shared" si="4"/>
        <v>103.566672</v>
      </c>
      <c r="P12" s="856">
        <f t="shared" si="4"/>
        <v>0</v>
      </c>
      <c r="Q12" s="856">
        <f t="shared" si="4"/>
        <v>0</v>
      </c>
      <c r="R12" s="133"/>
      <c r="S12" s="1190">
        <f>(M12+N12)/J11</f>
        <v>0.60204545999999992</v>
      </c>
      <c r="T12" s="134"/>
    </row>
    <row r="13" spans="1:22" ht="16.5" customHeight="1" thickTop="1">
      <c r="A13" s="1"/>
      <c r="B13" s="1"/>
      <c r="C13" s="1"/>
      <c r="D13" s="1"/>
      <c r="E13" s="1"/>
      <c r="F13" s="1"/>
      <c r="G13" s="503"/>
      <c r="H13" s="125"/>
      <c r="I13" s="1"/>
      <c r="J13" s="866"/>
      <c r="K13" s="854"/>
      <c r="L13" s="854"/>
      <c r="M13" s="854"/>
      <c r="N13" s="854"/>
      <c r="O13" s="854"/>
      <c r="P13" s="854"/>
      <c r="Q13" s="854"/>
    </row>
    <row r="14" spans="1:22" s="582" customFormat="1" ht="13.9" customHeight="1">
      <c r="A14" s="1177" t="s">
        <v>798</v>
      </c>
      <c r="B14" s="1916" t="s">
        <v>799</v>
      </c>
      <c r="C14" s="267" t="s">
        <v>800</v>
      </c>
      <c r="D14" s="166" t="str">
        <f>VLOOKUP(G14,'Baumaterialien Matériaux'!$A$10:$AD$432,30,FALSE)</f>
        <v>Brique en terre cuite</v>
      </c>
      <c r="E14" s="1403"/>
      <c r="F14" s="166" t="str">
        <f>_xlfn.XLOOKUP($G14,'Baumaterialien Matériaux'!$A:$A,'Baumaterialien Matériaux'!G:G,0,0)</f>
        <v>kg</v>
      </c>
      <c r="G14" s="281" t="s">
        <v>623</v>
      </c>
      <c r="H14" s="259">
        <f>16.7*7.7</f>
        <v>128.59</v>
      </c>
      <c r="I14" s="163"/>
      <c r="J14" s="262">
        <v>60</v>
      </c>
      <c r="K14" s="855">
        <f>$H14*_xlfn.XLOOKUP($G14,'Baumaterialien Matériaux'!$A:$A,'Baumaterialien Matériaux'!V:V,0,0)</f>
        <v>94.385059999999996</v>
      </c>
      <c r="L14" s="855">
        <f>$H14*_xlfn.XLOOKUP($G14,'Baumaterialien Matériaux'!$A:$A,'Baumaterialien Matériaux'!Y:Y,0,0)</f>
        <v>6.7638340000000001</v>
      </c>
      <c r="M14" s="855">
        <f>$H14*_xlfn.XLOOKUP($G14,'Baumaterialien Matériaux'!$A:$A,'Baumaterialien Matériaux'!AA:AA,0,0)</f>
        <v>32.661860000000004</v>
      </c>
      <c r="N14" s="855">
        <f>$H14*_xlfn.XLOOKUP($G14,'Baumaterialien Matériaux'!$A:$A,'Baumaterialien Matériaux'!AB:AB,0,0)</f>
        <v>1.6330929999999999</v>
      </c>
      <c r="O14" s="855">
        <f>$H14*_xlfn.XLOOKUP($G14,'Baumaterialien Matériaux'!$A:$A,'Baumaterialien Matériaux'!AC:AC,0,0)*44/12</f>
        <v>0</v>
      </c>
      <c r="P14" s="855">
        <f>$H14*_xlfn.XLOOKUP($G14,'Baumaterialien Matériaux'!$A:$A,'Baumaterialien Matériaux'!AG:AG,0,0)</f>
        <v>0</v>
      </c>
      <c r="Q14" s="1101">
        <f>$H14*_xlfn.XLOOKUP($G14,'Baumaterialien Matériaux'!$A:$A,'Baumaterialien Matériaux'!AH:AH,0,0)</f>
        <v>0</v>
      </c>
      <c r="R14" s="133"/>
      <c r="S14" s="133"/>
      <c r="T14" s="1910"/>
      <c r="U14" s="1096"/>
    </row>
    <row r="15" spans="1:22" s="159" customFormat="1" ht="15.75" customHeight="1">
      <c r="A15" s="584"/>
      <c r="B15" s="1918"/>
      <c r="C15" s="267" t="s">
        <v>624</v>
      </c>
      <c r="D15" s="166" t="str">
        <f>VLOOKUP(G15,'Baumaterialien Matériaux'!$A$10:$AD$432,30,FALSE)</f>
        <v>Enduit de ciment</v>
      </c>
      <c r="E15" s="1403"/>
      <c r="F15" s="166" t="str">
        <f>_xlfn.XLOOKUP($G15,'Baumaterialien Matériaux'!$A:$A,'Baumaterialien Matériaux'!G:G,0,0)</f>
        <v>kg</v>
      </c>
      <c r="G15" s="508" t="s">
        <v>625</v>
      </c>
      <c r="H15" s="259">
        <f>27*1.6</f>
        <v>43.2</v>
      </c>
      <c r="I15" s="163"/>
      <c r="J15" s="262">
        <v>60</v>
      </c>
      <c r="K15" s="855">
        <f>$H15*_xlfn.XLOOKUP($G15,'Baumaterialien Matériaux'!$A:$A,'Baumaterialien Matériaux'!V:V,0,0)</f>
        <v>26.006399999999999</v>
      </c>
      <c r="L15" s="855">
        <f>$H15*_xlfn.XLOOKUP($G15,'Baumaterialien Matériaux'!$A:$A,'Baumaterialien Matériaux'!Y:Y,0,0)</f>
        <v>2.2636800000000004</v>
      </c>
      <c r="M15" s="855">
        <f>$H15*_xlfn.XLOOKUP($G15,'Baumaterialien Matériaux'!$A:$A,'Baumaterialien Matériaux'!AA:AA,0,0)</f>
        <v>10.713600000000001</v>
      </c>
      <c r="N15" s="855">
        <f>$H15*_xlfn.XLOOKUP($G15,'Baumaterialien Matériaux'!$A:$A,'Baumaterialien Matériaux'!AB:AB,0,0)</f>
        <v>0.54864000000000002</v>
      </c>
      <c r="O15" s="855">
        <f>$H15*_xlfn.XLOOKUP($G15,'Baumaterialien Matériaux'!$A:$A,'Baumaterialien Matériaux'!AC:AC,0,0)*44/12</f>
        <v>0</v>
      </c>
      <c r="P15" s="855">
        <f>$H15*_xlfn.XLOOKUP($G15,'Baumaterialien Matériaux'!$A:$A,'Baumaterialien Matériaux'!AG:AG,0,0)</f>
        <v>0</v>
      </c>
      <c r="Q15" s="1101">
        <f>$H15*_xlfn.XLOOKUP($G15,'Baumaterialien Matériaux'!$A:$A,'Baumaterialien Matériaux'!AH:AH,0,0)</f>
        <v>0</v>
      </c>
      <c r="R15" s="133"/>
      <c r="S15" s="133"/>
      <c r="T15" s="1910"/>
    </row>
    <row r="16" spans="1:22" s="590" customFormat="1" ht="16.5" customHeight="1" thickBot="1">
      <c r="B16" s="620"/>
      <c r="G16" s="599"/>
      <c r="J16" s="867"/>
      <c r="K16" s="856">
        <f t="shared" ref="K16:L16" si="5">SUM(K14:K15)</f>
        <v>120.39146</v>
      </c>
      <c r="L16" s="856">
        <f t="shared" si="5"/>
        <v>9.027514</v>
      </c>
      <c r="M16" s="856">
        <f t="shared" ref="M16:O16" si="6">SUM(M14:M15)</f>
        <v>43.375460000000004</v>
      </c>
      <c r="N16" s="856">
        <f t="shared" si="6"/>
        <v>2.1817329999999999</v>
      </c>
      <c r="O16" s="856">
        <f t="shared" si="6"/>
        <v>0</v>
      </c>
      <c r="P16" s="856">
        <f t="shared" ref="P16:Q16" si="7">SUM(P14:P15)</f>
        <v>0</v>
      </c>
      <c r="Q16" s="856">
        <f t="shared" si="7"/>
        <v>0</v>
      </c>
      <c r="R16" s="133"/>
      <c r="S16" s="1190">
        <f>(M16+N16)/J15</f>
        <v>0.75928655000000012</v>
      </c>
      <c r="T16" s="805"/>
    </row>
    <row r="17" spans="1:21" ht="16.5" customHeight="1" thickTop="1">
      <c r="B17" s="974"/>
      <c r="J17" s="868"/>
      <c r="K17" s="857"/>
      <c r="L17" s="857"/>
      <c r="M17" s="857"/>
      <c r="N17" s="857"/>
      <c r="O17" s="857"/>
      <c r="P17" s="857"/>
      <c r="Q17" s="857"/>
    </row>
    <row r="18" spans="1:21" s="582" customFormat="1" ht="13.9" customHeight="1">
      <c r="A18" s="1177" t="s">
        <v>801</v>
      </c>
      <c r="B18" s="1945" t="s">
        <v>802</v>
      </c>
      <c r="C18" s="267" t="s">
        <v>803</v>
      </c>
      <c r="D18" s="166" t="str">
        <f>VLOOKUP(G18,'Baumaterialien Matériaux'!$A$10:$AD$432,30,FALSE)</f>
        <v>Grès</v>
      </c>
      <c r="E18" s="1403"/>
      <c r="F18" s="166" t="str">
        <f>_xlfn.XLOOKUP($G18,'Baumaterialien Matériaux'!$A:$A,'Baumaterialien Matériaux'!G:G,0,0)</f>
        <v>kg</v>
      </c>
      <c r="G18" s="622" t="s">
        <v>804</v>
      </c>
      <c r="H18" s="259">
        <f>19.2*10.7</f>
        <v>205.43999999999997</v>
      </c>
      <c r="I18" s="163"/>
      <c r="J18" s="262">
        <v>60</v>
      </c>
      <c r="K18" s="855">
        <f>$H18*_xlfn.XLOOKUP($G18,'Baumaterialien Matériaux'!$A:$A,'Baumaterialien Matériaux'!V:V,0,0)</f>
        <v>69.233279999999993</v>
      </c>
      <c r="L18" s="855">
        <f>$H18*_xlfn.XLOOKUP($G18,'Baumaterialien Matériaux'!$A:$A,'Baumaterialien Matériaux'!Y:Y,0,0)</f>
        <v>10.806143999999998</v>
      </c>
      <c r="M18" s="855">
        <f>$H18*_xlfn.XLOOKUP($G18,'Baumaterialien Matériaux'!$A:$A,'Baumaterialien Matériaux'!AA:AA,0,0)</f>
        <v>30.610559999999992</v>
      </c>
      <c r="N18" s="855">
        <f>$H18*_xlfn.XLOOKUP($G18,'Baumaterialien Matériaux'!$A:$A,'Baumaterialien Matériaux'!AB:AB,0,0)</f>
        <v>2.6090879999999994</v>
      </c>
      <c r="O18" s="855">
        <f>$H18*_xlfn.XLOOKUP($G18,'Baumaterialien Matériaux'!$A:$A,'Baumaterialien Matériaux'!AC:AC,0,0)*44/12</f>
        <v>0</v>
      </c>
      <c r="P18" s="855">
        <f>$H18*_xlfn.XLOOKUP($G18,'Baumaterialien Matériaux'!$A:$A,'Baumaterialien Matériaux'!AG:AG,0,0)</f>
        <v>0</v>
      </c>
      <c r="Q18" s="1101">
        <f>$H18*_xlfn.XLOOKUP($G18,'Baumaterialien Matériaux'!$A:$A,'Baumaterialien Matériaux'!AH:AH,0,0)</f>
        <v>0</v>
      </c>
      <c r="R18" s="133"/>
      <c r="S18" s="133"/>
      <c r="T18" s="1911"/>
      <c r="U18" s="1096"/>
    </row>
    <row r="19" spans="1:21" s="159" customFormat="1" ht="15.75" customHeight="1">
      <c r="A19" s="584"/>
      <c r="B19" s="1946"/>
      <c r="C19" s="267" t="s">
        <v>624</v>
      </c>
      <c r="D19" s="166" t="str">
        <f>VLOOKUP(G19,'Baumaterialien Matériaux'!$A$10:$AD$432,30,FALSE)</f>
        <v>Enduit de ciment</v>
      </c>
      <c r="E19" s="1403"/>
      <c r="F19" s="166" t="str">
        <f>_xlfn.XLOOKUP($G19,'Baumaterialien Matériaux'!$A:$A,'Baumaterialien Matériaux'!G:G,0,0)</f>
        <v>kg</v>
      </c>
      <c r="G19" s="623" t="s">
        <v>625</v>
      </c>
      <c r="H19" s="259">
        <f>23*1.6</f>
        <v>36.800000000000004</v>
      </c>
      <c r="I19" s="163"/>
      <c r="J19" s="262">
        <v>60</v>
      </c>
      <c r="K19" s="855">
        <f>$H19*_xlfn.XLOOKUP($G19,'Baumaterialien Matériaux'!$A:$A,'Baumaterialien Matériaux'!V:V,0,0)</f>
        <v>22.153600000000001</v>
      </c>
      <c r="L19" s="855">
        <f>$H19*_xlfn.XLOOKUP($G19,'Baumaterialien Matériaux'!$A:$A,'Baumaterialien Matériaux'!Y:Y,0,0)</f>
        <v>1.9283200000000003</v>
      </c>
      <c r="M19" s="855">
        <f>$H19*_xlfn.XLOOKUP($G19,'Baumaterialien Matériaux'!$A:$A,'Baumaterialien Matériaux'!AA:AA,0,0)</f>
        <v>9.1264000000000003</v>
      </c>
      <c r="N19" s="855">
        <f>$H19*_xlfn.XLOOKUP($G19,'Baumaterialien Matériaux'!$A:$A,'Baumaterialien Matériaux'!AB:AB,0,0)</f>
        <v>0.46736000000000005</v>
      </c>
      <c r="O19" s="855">
        <f>$H19*_xlfn.XLOOKUP($G19,'Baumaterialien Matériaux'!$A:$A,'Baumaterialien Matériaux'!AC:AC,0,0)*44/12</f>
        <v>0</v>
      </c>
      <c r="P19" s="855">
        <f>$H19*_xlfn.XLOOKUP($G19,'Baumaterialien Matériaux'!$A:$A,'Baumaterialien Matériaux'!AG:AG,0,0)</f>
        <v>0</v>
      </c>
      <c r="Q19" s="1101">
        <f>$H19*_xlfn.XLOOKUP($G19,'Baumaterialien Matériaux'!$A:$A,'Baumaterialien Matériaux'!AH:AH,0,0)</f>
        <v>0</v>
      </c>
      <c r="R19" s="133"/>
      <c r="S19" s="133"/>
      <c r="T19" s="1912"/>
    </row>
    <row r="20" spans="1:21" s="590" customFormat="1" ht="16.5" customHeight="1" thickBot="1">
      <c r="B20" s="620"/>
      <c r="G20" s="599"/>
      <c r="J20" s="867"/>
      <c r="K20" s="856">
        <f t="shared" ref="K20:L20" si="8">SUM(K18:K19)</f>
        <v>91.386879999999991</v>
      </c>
      <c r="L20" s="856">
        <f t="shared" si="8"/>
        <v>12.734463999999999</v>
      </c>
      <c r="M20" s="856">
        <f t="shared" ref="M20:O20" si="9">SUM(M18:M19)</f>
        <v>39.736959999999996</v>
      </c>
      <c r="N20" s="856">
        <f t="shared" si="9"/>
        <v>3.0764479999999996</v>
      </c>
      <c r="O20" s="856">
        <f t="shared" si="9"/>
        <v>0</v>
      </c>
      <c r="P20" s="856">
        <f t="shared" ref="P20:Q20" si="10">SUM(P18:P19)</f>
        <v>0</v>
      </c>
      <c r="Q20" s="856">
        <f t="shared" si="10"/>
        <v>0</v>
      </c>
      <c r="R20" s="133"/>
      <c r="S20" s="1190">
        <f>(M20+N20)/J19</f>
        <v>0.71355679999999988</v>
      </c>
      <c r="T20" s="805"/>
    </row>
    <row r="21" spans="1:21" ht="16.5" customHeight="1" thickTop="1">
      <c r="J21" s="868"/>
      <c r="K21" s="857"/>
      <c r="L21" s="857"/>
      <c r="M21" s="857"/>
      <c r="N21" s="857"/>
      <c r="O21" s="857"/>
      <c r="P21" s="857"/>
      <c r="Q21" s="857"/>
    </row>
    <row r="22" spans="1:21" ht="16.5" customHeight="1">
      <c r="J22" s="868"/>
      <c r="K22" s="857"/>
      <c r="L22" s="857"/>
      <c r="M22" s="857"/>
      <c r="N22" s="857"/>
      <c r="O22" s="857"/>
      <c r="P22" s="857"/>
      <c r="Q22" s="857"/>
    </row>
    <row r="23" spans="1:21" s="134" customFormat="1" ht="15.75" customHeight="1">
      <c r="A23" s="132" t="s">
        <v>805</v>
      </c>
      <c r="B23" s="132"/>
      <c r="C23" s="132"/>
      <c r="D23" s="132"/>
      <c r="E23" s="132"/>
      <c r="F23" s="132"/>
      <c r="R23" s="133"/>
      <c r="S23" s="133"/>
      <c r="T23" s="668"/>
    </row>
    <row r="24" spans="1:21" ht="16.5" customHeight="1">
      <c r="J24" s="868"/>
      <c r="K24" s="857"/>
      <c r="L24" s="857"/>
      <c r="M24" s="857"/>
      <c r="N24" s="857"/>
      <c r="O24" s="857"/>
      <c r="P24" s="857"/>
      <c r="Q24" s="857"/>
    </row>
    <row r="25" spans="1:21" s="582" customFormat="1" ht="15.75" customHeight="1">
      <c r="A25" s="1096" t="s">
        <v>806</v>
      </c>
      <c r="B25" s="1913" t="s">
        <v>795</v>
      </c>
      <c r="C25" s="267" t="s">
        <v>807</v>
      </c>
      <c r="D25" s="163" t="str">
        <f>VLOOKUP(G25,'Baumaterialien Matériaux'!$A$10:$AD$432,30,FALSE)</f>
        <v>Plaque de plâtre armé de fibres</v>
      </c>
      <c r="E25" s="1409"/>
      <c r="F25" s="166" t="str">
        <f>_xlfn.XLOOKUP($G25,'Baumaterialien Matériaux'!$A:$A,'Baumaterialien Matériaux'!G:G,0,0)</f>
        <v>kg</v>
      </c>
      <c r="G25" s="508" t="s">
        <v>808</v>
      </c>
      <c r="H25" s="259">
        <f>(0.0125+0.01)*2*1200</f>
        <v>54</v>
      </c>
      <c r="I25" s="1096"/>
      <c r="J25" s="262">
        <v>30</v>
      </c>
      <c r="K25" s="855">
        <f>$H25*_xlfn.XLOOKUP($G25,'Baumaterialien Matériaux'!$A:$A,'Baumaterialien Matériaux'!V:V,0,0)</f>
        <v>129.06</v>
      </c>
      <c r="L25" s="855">
        <f>$H25*_xlfn.XLOOKUP($G25,'Baumaterialien Matériaux'!$A:$A,'Baumaterialien Matériaux'!Y:Y,0,0)</f>
        <v>4.2174000000000005</v>
      </c>
      <c r="M25" s="855">
        <f>$H25*_xlfn.XLOOKUP($G25,'Baumaterialien Matériaux'!$A:$A,'Baumaterialien Matériaux'!AA:AA,0,0)</f>
        <v>28.782</v>
      </c>
      <c r="N25" s="855">
        <f>$H25*_xlfn.XLOOKUP($G25,'Baumaterialien Matériaux'!$A:$A,'Baumaterialien Matériaux'!AB:AB,0,0)</f>
        <v>1.0044</v>
      </c>
      <c r="O25" s="855">
        <f>$H25*_xlfn.XLOOKUP($G25,'Baumaterialien Matériaux'!$A:$A,'Baumaterialien Matériaux'!AC:AC,0,0)*44/12</f>
        <v>8.8902000000000019</v>
      </c>
      <c r="P25" s="855">
        <f>$H25*_xlfn.XLOOKUP($G25,'Baumaterialien Matériaux'!$A:$A,'Baumaterialien Matériaux'!AG:AG,0,0)</f>
        <v>0</v>
      </c>
      <c r="Q25" s="1101">
        <f>$H25*_xlfn.XLOOKUP($G25,'Baumaterialien Matériaux'!$A:$A,'Baumaterialien Matériaux'!AH:AH,0,0)</f>
        <v>0</v>
      </c>
      <c r="R25" s="133"/>
      <c r="S25" s="133"/>
      <c r="T25" s="1098"/>
      <c r="U25" s="1096"/>
    </row>
    <row r="26" spans="1:21" s="159" customFormat="1" ht="15.75" customHeight="1">
      <c r="B26" s="1914"/>
      <c r="C26" s="267" t="s">
        <v>656</v>
      </c>
      <c r="D26" s="163" t="str">
        <f>VLOOKUP(G26,'Baumaterialien Matériaux'!$A$10:$AD$432,30,FALSE)</f>
        <v>Tôle d'acier, zinguée</v>
      </c>
      <c r="E26" s="1409"/>
      <c r="F26" s="166" t="str">
        <f>_xlfn.XLOOKUP($G26,'Baumaterialien Matériaux'!$A:$A,'Baumaterialien Matériaux'!G:G,0,0)</f>
        <v>kg</v>
      </c>
      <c r="G26" s="281" t="s">
        <v>657</v>
      </c>
      <c r="H26" s="259">
        <v>1.3188</v>
      </c>
      <c r="J26" s="262">
        <v>30</v>
      </c>
      <c r="K26" s="855">
        <f>$H26*_xlfn.XLOOKUP($G26,'Baumaterialien Matériaux'!$A:$A,'Baumaterialien Matériaux'!V:V,0,0)</f>
        <v>20.57328</v>
      </c>
      <c r="L26" s="855">
        <f>$H26*_xlfn.XLOOKUP($G26,'Baumaterialien Matériaux'!$A:$A,'Baumaterialien Matériaux'!Y:Y,0,0)</f>
        <v>3.5871359999999998E-2</v>
      </c>
      <c r="M26" s="855">
        <f>$H26*_xlfn.XLOOKUP($G26,'Baumaterialien Matériaux'!$A:$A,'Baumaterialien Matériaux'!AA:AA,0,0)</f>
        <v>5.9082240000000006</v>
      </c>
      <c r="N26" s="855">
        <f>$H26*_xlfn.XLOOKUP($G26,'Baumaterialien Matériaux'!$A:$A,'Baumaterialien Matériaux'!AB:AB,0,0)</f>
        <v>9.139284000000001E-3</v>
      </c>
      <c r="O26" s="855">
        <f>$H26*_xlfn.XLOOKUP($G26,'Baumaterialien Matériaux'!$A:$A,'Baumaterialien Matériaux'!AC:AC,0,0)*44/12</f>
        <v>0</v>
      </c>
      <c r="P26" s="855">
        <f>$H26*_xlfn.XLOOKUP($G26,'Baumaterialien Matériaux'!$A:$A,'Baumaterialien Matériaux'!AG:AG,0,0)</f>
        <v>0</v>
      </c>
      <c r="Q26" s="1101">
        <f>$H26*_xlfn.XLOOKUP($G26,'Baumaterialien Matériaux'!$A:$A,'Baumaterialien Matériaux'!AH:AH,0,0)</f>
        <v>0</v>
      </c>
      <c r="R26" s="133"/>
      <c r="S26" s="133"/>
      <c r="T26" s="1098"/>
    </row>
    <row r="27" spans="1:21" s="159" customFormat="1" ht="15.75" customHeight="1">
      <c r="B27" s="1915"/>
      <c r="C27" s="267" t="s">
        <v>797</v>
      </c>
      <c r="D27" s="163" t="str">
        <f>VLOOKUP(G27,'Baumaterialien Matériaux'!$A$10:$AD$432,30,FALSE)</f>
        <v>Laine de roche</v>
      </c>
      <c r="E27" s="1409"/>
      <c r="F27" s="166" t="str">
        <f>_xlfn.XLOOKUP($G27,'Baumaterialien Matériaux'!$A:$A,'Baumaterialien Matériaux'!G:G,0,0)</f>
        <v>kg</v>
      </c>
      <c r="G27" s="508" t="s">
        <v>699</v>
      </c>
      <c r="H27" s="167">
        <f>0.075*90</f>
        <v>6.75</v>
      </c>
      <c r="J27" s="262">
        <v>30</v>
      </c>
      <c r="K27" s="855">
        <f>$H27*_xlfn.XLOOKUP($G27,'Baumaterialien Matériaux'!$A:$A,'Baumaterialien Matériaux'!V:V,0,0)</f>
        <v>20.925000000000001</v>
      </c>
      <c r="L27" s="855">
        <f>$H27*_xlfn.XLOOKUP($G27,'Baumaterialien Matériaux'!$A:$A,'Baumaterialien Matériaux'!Y:Y,0,0)</f>
        <v>0.89775000000000005</v>
      </c>
      <c r="M27" s="855">
        <f>$H27*_xlfn.XLOOKUP($G27,'Baumaterialien Matériaux'!$A:$A,'Baumaterialien Matériaux'!AA:AA,0,0)</f>
        <v>5.10975</v>
      </c>
      <c r="N27" s="855">
        <f>$H27*_xlfn.XLOOKUP($G27,'Baumaterialien Matériaux'!$A:$A,'Baumaterialien Matériaux'!AB:AB,0,0)</f>
        <v>0.39960000000000001</v>
      </c>
      <c r="O27" s="855">
        <f>$H27*_xlfn.XLOOKUP($G27,'Baumaterialien Matériaux'!$A:$A,'Baumaterialien Matériaux'!AC:AC,0,0)*44/12</f>
        <v>0</v>
      </c>
      <c r="P27" s="855">
        <f>$H27*_xlfn.XLOOKUP($G27,'Baumaterialien Matériaux'!$A:$A,'Baumaterialien Matériaux'!AG:AG,0,0)</f>
        <v>0</v>
      </c>
      <c r="Q27" s="1101">
        <f>$H27*_xlfn.XLOOKUP($G27,'Baumaterialien Matériaux'!$A:$A,'Baumaterialien Matériaux'!AH:AH,0,0)</f>
        <v>0</v>
      </c>
      <c r="R27" s="133"/>
      <c r="S27" s="133"/>
      <c r="T27" s="1098"/>
    </row>
    <row r="28" spans="1:21" s="590" customFormat="1" ht="16.5" customHeight="1" thickBot="1">
      <c r="B28" s="620"/>
      <c r="G28" s="599"/>
      <c r="J28" s="867">
        <v>30</v>
      </c>
      <c r="K28" s="856">
        <f t="shared" ref="K28:L28" si="11">SUM(K25:K27)</f>
        <v>170.55828000000002</v>
      </c>
      <c r="L28" s="856">
        <f t="shared" si="11"/>
        <v>5.1510213600000005</v>
      </c>
      <c r="M28" s="856">
        <f>SUM(M25:M27)</f>
        <v>39.799973999999999</v>
      </c>
      <c r="N28" s="856">
        <f>SUM(N25:N27)</f>
        <v>1.4131392839999999</v>
      </c>
      <c r="O28" s="856">
        <f>SUM(O25:O27)</f>
        <v>8.8902000000000019</v>
      </c>
      <c r="P28" s="856">
        <f>SUM(P25:P27)</f>
        <v>0</v>
      </c>
      <c r="Q28" s="856">
        <f>SUM(Q25:Q27)</f>
        <v>0</v>
      </c>
      <c r="R28" s="133"/>
      <c r="S28" s="1190">
        <f>(M28+N28)/J27</f>
        <v>1.3737704428000002</v>
      </c>
      <c r="T28" s="805"/>
    </row>
    <row r="29" spans="1:21" s="159" customFormat="1" ht="16.5" customHeight="1" thickTop="1">
      <c r="G29" s="604"/>
      <c r="J29" s="260"/>
      <c r="K29" s="1070"/>
      <c r="L29" s="1070"/>
      <c r="M29" s="1070"/>
      <c r="N29" s="1070"/>
      <c r="O29" s="1070"/>
      <c r="P29" s="1070"/>
      <c r="Q29" s="1070"/>
      <c r="R29" s="133"/>
      <c r="S29" s="133"/>
      <c r="T29" s="805"/>
    </row>
    <row r="30" spans="1:21" ht="16.5" customHeight="1">
      <c r="A30" s="3" t="s">
        <v>809</v>
      </c>
      <c r="B30" s="1913" t="s">
        <v>795</v>
      </c>
      <c r="C30" s="267" t="s">
        <v>810</v>
      </c>
      <c r="D30" s="163" t="str">
        <f>VLOOKUP(G30,'Baumaterialien Matériaux'!$A$10:$AD$432,30,FALSE)</f>
        <v>Plaque de plâtre armé de fibres</v>
      </c>
      <c r="E30" s="1409"/>
      <c r="F30" s="163" t="str">
        <f>VLOOKUP(G30,'Baumaterialien Matériaux'!$A$10:$AD$432,7,FALSE)</f>
        <v>kg</v>
      </c>
      <c r="G30" s="508" t="s">
        <v>808</v>
      </c>
      <c r="H30" s="259">
        <f>(0.0125)*2*1200</f>
        <v>30</v>
      </c>
      <c r="I30" s="1096"/>
      <c r="J30" s="262">
        <v>30</v>
      </c>
      <c r="K30" s="855">
        <f>$H30*_xlfn.XLOOKUP($G30,'Baumaterialien Matériaux'!$A:$A,'Baumaterialien Matériaux'!V:V,0,0)</f>
        <v>71.7</v>
      </c>
      <c r="L30" s="855">
        <f>$H30*_xlfn.XLOOKUP($G30,'Baumaterialien Matériaux'!$A:$A,'Baumaterialien Matériaux'!Y:Y,0,0)</f>
        <v>2.343</v>
      </c>
      <c r="M30" s="855">
        <f>$H30*_xlfn.XLOOKUP($G30,'Baumaterialien Matériaux'!$A:$A,'Baumaterialien Matériaux'!AA:AA,0,0)</f>
        <v>15.99</v>
      </c>
      <c r="N30" s="855">
        <f>$H30*_xlfn.XLOOKUP($G30,'Baumaterialien Matériaux'!$A:$A,'Baumaterialien Matériaux'!AB:AB,0,0)</f>
        <v>0.55799999999999994</v>
      </c>
      <c r="O30" s="855">
        <f>$H30*_xlfn.XLOOKUP($G30,'Baumaterialien Matériaux'!$A:$A,'Baumaterialien Matériaux'!AC:AC,0,0)*44/12</f>
        <v>4.9390000000000001</v>
      </c>
      <c r="P30" s="855">
        <f>$H30*_xlfn.XLOOKUP($G30,'Baumaterialien Matériaux'!$A:$A,'Baumaterialien Matériaux'!AG:AG,0,0)</f>
        <v>0</v>
      </c>
      <c r="Q30" s="1101">
        <f>$H30*_xlfn.XLOOKUP($G30,'Baumaterialien Matériaux'!$A:$A,'Baumaterialien Matériaux'!AH:AH,0,0)</f>
        <v>0</v>
      </c>
      <c r="R30" s="125"/>
      <c r="S30" s="125"/>
      <c r="T30" s="3"/>
    </row>
    <row r="31" spans="1:21" ht="16.5" customHeight="1">
      <c r="B31" s="1914"/>
      <c r="C31" s="267" t="s">
        <v>656</v>
      </c>
      <c r="D31" s="163" t="str">
        <f>VLOOKUP(G31,'Baumaterialien Matériaux'!$A$10:$AD$432,30,FALSE)</f>
        <v>Tôle d'acier, zinguée</v>
      </c>
      <c r="E31" s="1409"/>
      <c r="F31" s="163" t="str">
        <f>VLOOKUP(G31,'Baumaterialien Matériaux'!$A$10:$AD$432,7,FALSE)</f>
        <v>kg</v>
      </c>
      <c r="G31" s="281" t="s">
        <v>657</v>
      </c>
      <c r="H31" s="259">
        <v>1.3188</v>
      </c>
      <c r="I31" s="159"/>
      <c r="J31" s="262">
        <v>30</v>
      </c>
      <c r="K31" s="855">
        <f>$H31*_xlfn.XLOOKUP($G31,'Baumaterialien Matériaux'!$A:$A,'Baumaterialien Matériaux'!V:V,0,0)</f>
        <v>20.57328</v>
      </c>
      <c r="L31" s="855">
        <f>$H31*_xlfn.XLOOKUP($G31,'Baumaterialien Matériaux'!$A:$A,'Baumaterialien Matériaux'!Y:Y,0,0)</f>
        <v>3.5871359999999998E-2</v>
      </c>
      <c r="M31" s="855">
        <f>$H31*_xlfn.XLOOKUP($G31,'Baumaterialien Matériaux'!$A:$A,'Baumaterialien Matériaux'!AA:AA,0,0)</f>
        <v>5.9082240000000006</v>
      </c>
      <c r="N31" s="855">
        <f>$H31*_xlfn.XLOOKUP($G31,'Baumaterialien Matériaux'!$A:$A,'Baumaterialien Matériaux'!AB:AB,0,0)</f>
        <v>9.139284000000001E-3</v>
      </c>
      <c r="O31" s="855">
        <f>$H31*_xlfn.XLOOKUP($G31,'Baumaterialien Matériaux'!$A:$A,'Baumaterialien Matériaux'!AC:AC,0,0)*44/12</f>
        <v>0</v>
      </c>
      <c r="P31" s="855">
        <f>$H31*_xlfn.XLOOKUP($G31,'Baumaterialien Matériaux'!$A:$A,'Baumaterialien Matériaux'!AG:AG,0,0)</f>
        <v>0</v>
      </c>
      <c r="Q31" s="1101">
        <f>$H31*_xlfn.XLOOKUP($G31,'Baumaterialien Matériaux'!$A:$A,'Baumaterialien Matériaux'!AH:AH,0,0)</f>
        <v>0</v>
      </c>
      <c r="R31" s="125"/>
      <c r="S31" s="125"/>
      <c r="T31" s="3"/>
    </row>
    <row r="32" spans="1:21" ht="16.5" customHeight="1">
      <c r="B32" s="1915"/>
      <c r="C32" s="267" t="s">
        <v>797</v>
      </c>
      <c r="D32" s="166" t="str">
        <f>VLOOKUP(G32,'Baumaterialien Matériaux'!$A$10:$AD$432,30,FALSE)</f>
        <v>Laine de roche</v>
      </c>
      <c r="E32" s="1403"/>
      <c r="F32" s="166" t="str">
        <f>VLOOKUP(G32,'Baumaterialien Matériaux'!$A$10:$AD$432,7,FALSE)</f>
        <v>kg</v>
      </c>
      <c r="G32" s="1106" t="s">
        <v>699</v>
      </c>
      <c r="H32" s="167">
        <f>0.075*90</f>
        <v>6.75</v>
      </c>
      <c r="I32" s="159"/>
      <c r="J32" s="262">
        <v>30</v>
      </c>
      <c r="K32" s="855">
        <f>$H32*_xlfn.XLOOKUP($G32,'Baumaterialien Matériaux'!$A:$A,'Baumaterialien Matériaux'!V:V,0,0)</f>
        <v>20.925000000000001</v>
      </c>
      <c r="L32" s="855">
        <f>$H32*_xlfn.XLOOKUP($G32,'Baumaterialien Matériaux'!$A:$A,'Baumaterialien Matériaux'!Y:Y,0,0)</f>
        <v>0.89775000000000005</v>
      </c>
      <c r="M32" s="855">
        <f>$H32*_xlfn.XLOOKUP($G32,'Baumaterialien Matériaux'!$A:$A,'Baumaterialien Matériaux'!AA:AA,0,0)</f>
        <v>5.10975</v>
      </c>
      <c r="N32" s="855">
        <f>$H32*_xlfn.XLOOKUP($G32,'Baumaterialien Matériaux'!$A:$A,'Baumaterialien Matériaux'!AB:AB,0,0)</f>
        <v>0.39960000000000001</v>
      </c>
      <c r="O32" s="855">
        <f>$H32*_xlfn.XLOOKUP($G32,'Baumaterialien Matériaux'!$A:$A,'Baumaterialien Matériaux'!AC:AC,0,0)*44/12</f>
        <v>0</v>
      </c>
      <c r="P32" s="855">
        <f>$H32*_xlfn.XLOOKUP($G32,'Baumaterialien Matériaux'!$A:$A,'Baumaterialien Matériaux'!AG:AG,0,0)</f>
        <v>0</v>
      </c>
      <c r="Q32" s="1101">
        <f>$H32*_xlfn.XLOOKUP($G32,'Baumaterialien Matériaux'!$A:$A,'Baumaterialien Matériaux'!AH:AH,0,0)</f>
        <v>0</v>
      </c>
      <c r="R32" s="125"/>
      <c r="S32" s="125"/>
      <c r="T32" s="3"/>
    </row>
    <row r="33" spans="1:21" ht="16.5" customHeight="1" thickBot="1">
      <c r="B33" s="584"/>
      <c r="C33" s="159"/>
      <c r="G33" s="1150"/>
      <c r="H33" s="126"/>
      <c r="I33" s="159"/>
      <c r="J33" s="867">
        <v>30</v>
      </c>
      <c r="K33" s="856">
        <f t="shared" ref="K33:L33" si="12">SUM(K30:K32)</f>
        <v>113.19828</v>
      </c>
      <c r="L33" s="856">
        <f t="shared" si="12"/>
        <v>3.27662136</v>
      </c>
      <c r="M33" s="856">
        <f>SUM(M30:M32)</f>
        <v>27.007973999999997</v>
      </c>
      <c r="N33" s="856">
        <f>SUM(N30:N32)</f>
        <v>0.96673928399999998</v>
      </c>
      <c r="O33" s="856">
        <f>SUM(O30:O32)</f>
        <v>4.9390000000000001</v>
      </c>
      <c r="P33" s="856">
        <f>SUM(P30:P32)</f>
        <v>0</v>
      </c>
      <c r="Q33" s="856">
        <f>SUM(Q30:Q32)</f>
        <v>0</v>
      </c>
      <c r="R33" s="125"/>
      <c r="S33" s="1190">
        <f>(M33+N33)/J32</f>
        <v>0.93249044279999993</v>
      </c>
      <c r="T33" s="3"/>
    </row>
    <row r="34" spans="1:21" ht="16.5" customHeight="1" thickTop="1">
      <c r="J34" s="868"/>
      <c r="K34" s="857"/>
      <c r="L34" s="857"/>
      <c r="M34" s="857"/>
      <c r="N34" s="857"/>
      <c r="O34" s="857"/>
      <c r="P34" s="857"/>
      <c r="Q34" s="857"/>
    </row>
    <row r="35" spans="1:21" s="1095" customFormat="1" ht="16.5" customHeight="1">
      <c r="A35" s="1096" t="s">
        <v>794</v>
      </c>
      <c r="B35" s="1913" t="s">
        <v>795</v>
      </c>
      <c r="C35" s="267" t="s">
        <v>796</v>
      </c>
      <c r="D35" s="163" t="str">
        <f>VLOOKUP(G35,'Baumaterialien Matériaux'!$A$10:$AD$432,30,FALSE)</f>
        <v>Bois massif 3 et 5 plis</v>
      </c>
      <c r="E35" s="1409"/>
      <c r="F35" s="163" t="str">
        <f>VLOOKUP(G35,'Baumaterialien Matériaux'!$A$10:$AD$432,7,FALSE)</f>
        <v>kg</v>
      </c>
      <c r="G35" s="1102" t="s">
        <v>590</v>
      </c>
      <c r="H35" s="259">
        <f>453*0.072*2</f>
        <v>65.231999999999999</v>
      </c>
      <c r="I35" s="1096"/>
      <c r="J35" s="864">
        <v>30</v>
      </c>
      <c r="K35" s="530">
        <f>$H35*_xlfn.XLOOKUP($G35,'Baumaterialien Matériaux'!$A:$A,'Baumaterialien Matériaux'!V:V,0,0)</f>
        <v>136.33488</v>
      </c>
      <c r="L35" s="530">
        <f>$H35*_xlfn.XLOOKUP($G35,'Baumaterialien Matériaux'!$A:$A,'Baumaterialien Matériaux'!Y:Y,0,0)</f>
        <v>6.0209135999999992</v>
      </c>
      <c r="M35" s="530">
        <f>$H35*_xlfn.XLOOKUP($G35,'Baumaterialien Matériaux'!$A:$A,'Baumaterialien Matériaux'!AA:AA,0,0)</f>
        <v>27.006048</v>
      </c>
      <c r="N35" s="530">
        <f>$H35*_xlfn.XLOOKUP($G35,'Baumaterialien Matériaux'!$A:$A,'Baumaterialien Matériaux'!AB:AB,0,0)</f>
        <v>3.6073295999999999</v>
      </c>
      <c r="O35" s="530">
        <f>$H35*_xlfn.XLOOKUP($G35,'Baumaterialien Matériaux'!$A:$A,'Baumaterialien Matériaux'!AC:AC,0,0)*44/12</f>
        <v>103.566672</v>
      </c>
      <c r="P35" s="530">
        <f>$H35*_xlfn.XLOOKUP($G35,'Baumaterialien Matériaux'!$A:$A,'Baumaterialien Matériaux'!AG:AG,0,0)</f>
        <v>0</v>
      </c>
      <c r="Q35" s="1110">
        <f>$H35*_xlfn.XLOOKUP($G35,'Baumaterialien Matériaux'!$A:$A,'Baumaterialien Matériaux'!AH:AH,0,0)</f>
        <v>0</v>
      </c>
      <c r="R35" s="133"/>
      <c r="S35" s="133"/>
      <c r="T35" s="134"/>
    </row>
    <row r="36" spans="1:21" ht="16.5" customHeight="1">
      <c r="A36" s="159"/>
      <c r="B36" s="1915"/>
      <c r="C36" s="267" t="s">
        <v>797</v>
      </c>
      <c r="D36" s="166" t="str">
        <f>VLOOKUP(G36,'Baumaterialien Matériaux'!$A$10:$AD$432,30,FALSE)</f>
        <v>Laine de roche</v>
      </c>
      <c r="E36" s="1403"/>
      <c r="F36" s="166" t="str">
        <f>VLOOKUP(G36,'Baumaterialien Matériaux'!$A$10:$AD$432,7,FALSE)</f>
        <v>kg</v>
      </c>
      <c r="G36" s="1106" t="s">
        <v>699</v>
      </c>
      <c r="H36" s="167">
        <f>0.075*90</f>
        <v>6.75</v>
      </c>
      <c r="I36" s="159"/>
      <c r="J36" s="864">
        <v>30</v>
      </c>
      <c r="K36" s="530">
        <f>$H36*_xlfn.XLOOKUP($G36,'Baumaterialien Matériaux'!$A:$A,'Baumaterialien Matériaux'!V:V,0,0)</f>
        <v>20.925000000000001</v>
      </c>
      <c r="L36" s="530">
        <f>$H36*_xlfn.XLOOKUP($G36,'Baumaterialien Matériaux'!$A:$A,'Baumaterialien Matériaux'!Y:Y,0,0)</f>
        <v>0.89775000000000005</v>
      </c>
      <c r="M36" s="530">
        <f>$H36*_xlfn.XLOOKUP($G36,'Baumaterialien Matériaux'!$A:$A,'Baumaterialien Matériaux'!AA:AA,0,0)</f>
        <v>5.10975</v>
      </c>
      <c r="N36" s="530">
        <f>$H36*_xlfn.XLOOKUP($G36,'Baumaterialien Matériaux'!$A:$A,'Baumaterialien Matériaux'!AB:AB,0,0)</f>
        <v>0.39960000000000001</v>
      </c>
      <c r="O36" s="530">
        <f>$H36*_xlfn.XLOOKUP($G36,'Baumaterialien Matériaux'!$A:$A,'Baumaterialien Matériaux'!AC:AC,0,0)*44/12</f>
        <v>0</v>
      </c>
      <c r="P36" s="530">
        <f>$H36*_xlfn.XLOOKUP($G36,'Baumaterialien Matériaux'!$A:$A,'Baumaterialien Matériaux'!AG:AG,0,0)</f>
        <v>0</v>
      </c>
      <c r="Q36" s="1110">
        <f>$H36*_xlfn.XLOOKUP($G36,'Baumaterialien Matériaux'!$A:$A,'Baumaterialien Matériaux'!AH:AH,0,0)</f>
        <v>0</v>
      </c>
    </row>
    <row r="37" spans="1:21" s="572" customFormat="1" ht="16.5" customHeight="1" thickBot="1">
      <c r="A37" s="590"/>
      <c r="B37" s="1103"/>
      <c r="C37" s="590"/>
      <c r="G37" s="1107"/>
      <c r="H37" s="593"/>
      <c r="I37" s="590"/>
      <c r="J37" s="1104"/>
      <c r="K37" s="856">
        <f t="shared" ref="K37:L37" si="13">SUM(K35:K36)</f>
        <v>157.25988000000001</v>
      </c>
      <c r="L37" s="856">
        <f t="shared" si="13"/>
        <v>6.9186635999999995</v>
      </c>
      <c r="M37" s="856">
        <f t="shared" ref="M37:Q37" si="14">SUM(M35:M36)</f>
        <v>32.115797999999998</v>
      </c>
      <c r="N37" s="856">
        <f t="shared" si="14"/>
        <v>4.0069296000000003</v>
      </c>
      <c r="O37" s="856">
        <f t="shared" si="14"/>
        <v>103.566672</v>
      </c>
      <c r="P37" s="856">
        <f t="shared" si="14"/>
        <v>0</v>
      </c>
      <c r="Q37" s="856">
        <f t="shared" si="14"/>
        <v>0</v>
      </c>
      <c r="R37" s="133"/>
      <c r="S37" s="1190">
        <f>(M37+N37)/J36</f>
        <v>1.2040909199999998</v>
      </c>
      <c r="T37" s="134"/>
    </row>
    <row r="38" spans="1:21" ht="16.5" customHeight="1" thickTop="1">
      <c r="J38" s="868"/>
      <c r="K38" s="1070"/>
      <c r="L38" s="1070"/>
      <c r="M38" s="1070"/>
      <c r="N38" s="1070"/>
      <c r="O38" s="1070"/>
      <c r="P38" s="1070"/>
      <c r="Q38" s="1070"/>
    </row>
    <row r="39" spans="1:21" s="134" customFormat="1" ht="17.25">
      <c r="A39" s="132" t="s">
        <v>442</v>
      </c>
      <c r="B39" s="132" t="str">
        <f>'Outil détaillé'!D34</f>
        <v>Planchers internes</v>
      </c>
      <c r="C39" s="132"/>
      <c r="D39" s="132"/>
      <c r="E39" s="132"/>
      <c r="F39" s="132"/>
      <c r="G39" s="504"/>
      <c r="H39" s="133" t="s">
        <v>635</v>
      </c>
      <c r="I39" s="132"/>
      <c r="J39" s="869"/>
      <c r="K39" s="858"/>
      <c r="L39" s="858"/>
      <c r="M39" s="858"/>
      <c r="N39" s="858"/>
      <c r="O39" s="858"/>
      <c r="P39" s="858"/>
      <c r="Q39" s="858"/>
      <c r="R39" s="133"/>
      <c r="S39" s="133"/>
    </row>
    <row r="40" spans="1:21" s="557" customFormat="1" ht="15.75" customHeight="1">
      <c r="A40" s="1056" t="s">
        <v>721</v>
      </c>
      <c r="B40" s="555" t="s">
        <v>722</v>
      </c>
      <c r="C40" s="570" t="s">
        <v>723</v>
      </c>
      <c r="D40" s="538" t="str">
        <f>VLOOKUP(G40,'Baumaterialien Matériaux'!$A$10:$AD$432,30,FALSE)</f>
        <v>Béton pour bâtiment (sans armature)</v>
      </c>
      <c r="E40" s="1785"/>
      <c r="F40" s="166" t="str">
        <f>_xlfn.XLOOKUP($G40,'Baumaterialien Matériaux'!$A:$A,'Baumaterialien Matériaux'!G:G,0,0)</f>
        <v>kg</v>
      </c>
      <c r="G40" s="561" t="s">
        <v>570</v>
      </c>
      <c r="H40" s="539">
        <f>(0.25-H41/7850)*2300</f>
        <v>568.40764331210187</v>
      </c>
      <c r="I40" s="538"/>
      <c r="J40" s="541">
        <v>60</v>
      </c>
      <c r="K40" s="859">
        <f>$H40*_xlfn.XLOOKUP($G40,'Baumaterialien Matériaux'!$A:$A,'Baumaterialien Matériaux'!V:V,0,0)</f>
        <v>69.914140127388535</v>
      </c>
      <c r="L40" s="859">
        <f>$H40*_xlfn.XLOOKUP($G40,'Baumaterialien Matériaux'!$A:$A,'Baumaterialien Matériaux'!Y:Y,0,0)</f>
        <v>29.159312101910825</v>
      </c>
      <c r="M40" s="859">
        <f>$H40*_xlfn.XLOOKUP($G40,'Baumaterialien Matériaux'!$A:$A,'Baumaterialien Matériaux'!AA:AA,0,0)</f>
        <v>50.417757961783437</v>
      </c>
      <c r="N40" s="859">
        <f>$H40*_xlfn.XLOOKUP($G40,'Baumaterialien Matériaux'!$A:$A,'Baumaterialien Matériaux'!AB:AB,0,0)</f>
        <v>7.1619363057324836</v>
      </c>
      <c r="O40" s="859">
        <f>$H40*_xlfn.XLOOKUP($G40,'Baumaterialien Matériaux'!$A:$A,'Baumaterialien Matériaux'!AC:AC,0,0)*44/12</f>
        <v>0</v>
      </c>
      <c r="P40" s="859">
        <f>$H40*_xlfn.XLOOKUP($G40,'Baumaterialien Matériaux'!$A:$A,'Baumaterialien Matériaux'!AG:AG,0,0)</f>
        <v>0</v>
      </c>
      <c r="Q40" s="1112">
        <f>$H40*_xlfn.XLOOKUP($G40,'Baumaterialien Matériaux'!$A:$A,'Baumaterialien Matériaux'!AH:AH,0,0)</f>
        <v>0</v>
      </c>
      <c r="R40" s="133"/>
      <c r="S40" s="133"/>
      <c r="T40" s="1099"/>
      <c r="U40" s="1056"/>
    </row>
    <row r="41" spans="1:21" s="540" customFormat="1" ht="15.75" customHeight="1">
      <c r="B41" s="555"/>
      <c r="C41" s="625" t="s">
        <v>811</v>
      </c>
      <c r="D41" s="538" t="str">
        <f>VLOOKUP(G41,'Baumaterialien Matériaux'!$A$10:$AD$432,30,FALSE)</f>
        <v>Acier d'armature</v>
      </c>
      <c r="E41" s="1785"/>
      <c r="F41" s="166" t="str">
        <f>_xlfn.XLOOKUP($G41,'Baumaterialien Matériaux'!$A:$A,'Baumaterialien Matériaux'!G:G,0,0)</f>
        <v>kg</v>
      </c>
      <c r="G41" s="546" t="s">
        <v>572</v>
      </c>
      <c r="H41" s="539">
        <f>90*0.25</f>
        <v>22.5</v>
      </c>
      <c r="I41" s="538"/>
      <c r="J41" s="541">
        <v>60</v>
      </c>
      <c r="K41" s="859">
        <f>$H41*_xlfn.XLOOKUP($G41,'Baumaterialien Matériaux'!$A:$A,'Baumaterialien Matériaux'!V:V,0,0)</f>
        <v>76.275000000000006</v>
      </c>
      <c r="L41" s="859">
        <f>$H41*_xlfn.XLOOKUP($G41,'Baumaterialien Matériaux'!$A:$A,'Baumaterialien Matériaux'!Y:Y,0,0)</f>
        <v>1.13625</v>
      </c>
      <c r="M41" s="859">
        <f>$H41*_xlfn.XLOOKUP($G41,'Baumaterialien Matériaux'!$A:$A,'Baumaterialien Matériaux'!AA:AA,0,0)</f>
        <v>17.392500000000002</v>
      </c>
      <c r="N41" s="859">
        <f>$H41*_xlfn.XLOOKUP($G41,'Baumaterialien Matériaux'!$A:$A,'Baumaterialien Matériaux'!AB:AB,0,0)</f>
        <v>0.27450000000000002</v>
      </c>
      <c r="O41" s="859">
        <f>$H41*_xlfn.XLOOKUP($G41,'Baumaterialien Matériaux'!$A:$A,'Baumaterialien Matériaux'!AC:AC,0,0)*44/12</f>
        <v>0</v>
      </c>
      <c r="P41" s="859">
        <f>$H41*_xlfn.XLOOKUP($G41,'Baumaterialien Matériaux'!$A:$A,'Baumaterialien Matériaux'!AG:AG,0,0)</f>
        <v>0</v>
      </c>
      <c r="Q41" s="1112">
        <f>$H41*_xlfn.XLOOKUP($G41,'Baumaterialien Matériaux'!$A:$A,'Baumaterialien Matériaux'!AH:AH,0,0)</f>
        <v>0</v>
      </c>
      <c r="R41" s="133"/>
      <c r="S41" s="133"/>
      <c r="T41" s="1099"/>
    </row>
    <row r="42" spans="1:21" s="540" customFormat="1" ht="15.75" customHeight="1">
      <c r="B42" s="555"/>
      <c r="C42" s="570" t="s">
        <v>615</v>
      </c>
      <c r="D42" s="538" t="str">
        <f>VLOOKUP(G42,'Baumaterialien Matériaux'!$A$10:$AD$432,30,FALSE)</f>
        <v>Bois massif 3 et 5 plis</v>
      </c>
      <c r="E42" s="1785"/>
      <c r="F42" s="166" t="str">
        <f>_xlfn.XLOOKUP($G42,'Baumaterialien Matériaux'!$A:$A,'Baumaterialien Matériaux'!G:G,0,0)</f>
        <v>kg</v>
      </c>
      <c r="G42" s="546" t="s">
        <v>590</v>
      </c>
      <c r="H42" s="539">
        <f>2/5*0.025*470</f>
        <v>4.7000000000000011</v>
      </c>
      <c r="I42" s="538"/>
      <c r="J42" s="541">
        <v>60</v>
      </c>
      <c r="K42" s="859">
        <f>$H42*_xlfn.XLOOKUP($G42,'Baumaterialien Matériaux'!$A:$A,'Baumaterialien Matériaux'!V:V,0,0)</f>
        <v>9.8230000000000022</v>
      </c>
      <c r="L42" s="859">
        <f>$H42*_xlfn.XLOOKUP($G42,'Baumaterialien Matériaux'!$A:$A,'Baumaterialien Matériaux'!Y:Y,0,0)</f>
        <v>0.43381000000000008</v>
      </c>
      <c r="M42" s="859">
        <f>$H42*_xlfn.XLOOKUP($G42,'Baumaterialien Matériaux'!$A:$A,'Baumaterialien Matériaux'!AA:AA,0,0)</f>
        <v>1.9458000000000004</v>
      </c>
      <c r="N42" s="859">
        <f>$H42*_xlfn.XLOOKUP($G42,'Baumaterialien Matériaux'!$A:$A,'Baumaterialien Matériaux'!AB:AB,0,0)</f>
        <v>0.25991000000000009</v>
      </c>
      <c r="O42" s="859">
        <f>$H42*_xlfn.XLOOKUP($G42,'Baumaterialien Matériaux'!$A:$A,'Baumaterialien Matériaux'!AC:AC,0,0)*44/12</f>
        <v>7.4620333333333342</v>
      </c>
      <c r="P42" s="859">
        <f>$H42*_xlfn.XLOOKUP($G42,'Baumaterialien Matériaux'!$A:$A,'Baumaterialien Matériaux'!AG:AG,0,0)</f>
        <v>0</v>
      </c>
      <c r="Q42" s="1112">
        <f>$H42*_xlfn.XLOOKUP($G42,'Baumaterialien Matériaux'!$A:$A,'Baumaterialien Matériaux'!AH:AH,0,0)</f>
        <v>0</v>
      </c>
      <c r="R42" s="133"/>
      <c r="S42" s="133"/>
      <c r="T42" s="1099"/>
    </row>
    <row r="43" spans="1:21" s="577" customFormat="1" ht="16.5" customHeight="1" thickBot="1">
      <c r="B43" s="626"/>
      <c r="D43" s="580"/>
      <c r="G43" s="579"/>
      <c r="J43" s="870"/>
      <c r="K43" s="860">
        <f t="shared" ref="K43:L43" si="15">SUM(K40:K42)</f>
        <v>156.01214012738856</v>
      </c>
      <c r="L43" s="860">
        <f t="shared" si="15"/>
        <v>30.729372101910826</v>
      </c>
      <c r="M43" s="860">
        <f t="shared" ref="M43:O43" si="16">SUM(M40:M42)</f>
        <v>69.756057961783441</v>
      </c>
      <c r="N43" s="860">
        <f t="shared" si="16"/>
        <v>7.696346305732483</v>
      </c>
      <c r="O43" s="860">
        <f t="shared" si="16"/>
        <v>7.4620333333333342</v>
      </c>
      <c r="P43" s="860">
        <f t="shared" ref="P43:Q43" si="17">SUM(P40:P42)</f>
        <v>0</v>
      </c>
      <c r="Q43" s="860">
        <f t="shared" si="17"/>
        <v>0</v>
      </c>
      <c r="R43" s="133"/>
      <c r="S43" s="1190">
        <f>(M43+N43)/J42</f>
        <v>1.2908734044585988</v>
      </c>
      <c r="T43" s="668">
        <v>1.45</v>
      </c>
    </row>
    <row r="44" spans="1:21" ht="16.5" customHeight="1" thickTop="1">
      <c r="J44" s="868"/>
      <c r="K44" s="857"/>
      <c r="L44" s="857"/>
      <c r="M44" s="857"/>
      <c r="N44" s="857"/>
      <c r="O44" s="857"/>
      <c r="P44" s="857"/>
      <c r="Q44" s="857"/>
    </row>
    <row r="45" spans="1:21" s="557" customFormat="1" ht="14.25" customHeight="1">
      <c r="A45" s="1056" t="s">
        <v>812</v>
      </c>
      <c r="B45" s="555" t="s">
        <v>813</v>
      </c>
      <c r="C45" s="570" t="s">
        <v>618</v>
      </c>
      <c r="D45" s="538" t="str">
        <f>VLOOKUP(G45,'Baumaterialien Matériaux'!$A$10:$AD$432,30,FALSE)</f>
        <v>Bois massif épicéa / sapin / mélèze, séché en cellule, raboté</v>
      </c>
      <c r="E45" s="1785"/>
      <c r="F45" s="166" t="str">
        <f>_xlfn.XLOOKUP($G45,'Baumaterialien Matériaux'!$A:$A,'Baumaterialien Matériaux'!G:G,0,0)</f>
        <v>kg</v>
      </c>
      <c r="G45" s="568" t="s">
        <v>651</v>
      </c>
      <c r="H45" s="539">
        <f>0.0896*465</f>
        <v>41.664000000000001</v>
      </c>
      <c r="I45" s="538"/>
      <c r="J45" s="541">
        <v>60</v>
      </c>
      <c r="K45" s="859">
        <f>$H45*_xlfn.XLOOKUP($G45,'Baumaterialien Matériaux'!$A:$A,'Baumaterialien Matériaux'!V:V,0,0)</f>
        <v>28.664831999999997</v>
      </c>
      <c r="L45" s="859">
        <f>$H45*_xlfn.XLOOKUP($G45,'Baumaterialien Matériaux'!$A:$A,'Baumaterialien Matériaux'!Y:Y,0,0)</f>
        <v>3.6997632000000005</v>
      </c>
      <c r="M45" s="859">
        <f>$H45*_xlfn.XLOOKUP($G45,'Baumaterialien Matériaux'!$A:$A,'Baumaterialien Matériaux'!AA:AA,0,0)</f>
        <v>5.5829760000000004</v>
      </c>
      <c r="N45" s="859">
        <f>$H45*_xlfn.XLOOKUP($G45,'Baumaterialien Matériaux'!$A:$A,'Baumaterialien Matériaux'!AB:AB,0,0)</f>
        <v>1.6248960000000001</v>
      </c>
      <c r="O45" s="859">
        <f>$H45*_xlfn.XLOOKUP($G45,'Baumaterialien Matériaux'!$A:$A,'Baumaterialien Matériaux'!AC:AC,0,0)*44/12</f>
        <v>68.898368000000005</v>
      </c>
      <c r="P45" s="859">
        <f>$H45*_xlfn.XLOOKUP($G45,'Baumaterialien Matériaux'!$A:$A,'Baumaterialien Matériaux'!AG:AG,0,0)</f>
        <v>0</v>
      </c>
      <c r="Q45" s="1112">
        <f>$H45*_xlfn.XLOOKUP($G45,'Baumaterialien Matériaux'!$A:$A,'Baumaterialien Matériaux'!AH:AH,0,0)</f>
        <v>0</v>
      </c>
      <c r="R45" s="133"/>
      <c r="S45" s="133"/>
      <c r="T45" s="1099"/>
      <c r="U45" s="1056"/>
    </row>
    <row r="46" spans="1:21" s="540" customFormat="1" ht="15.75" customHeight="1">
      <c r="B46" s="555"/>
      <c r="C46" s="570" t="s">
        <v>814</v>
      </c>
      <c r="D46" s="538" t="str">
        <f>VLOOKUP(G46,'Baumaterialien Matériaux'!$A$10:$AD$432,30,FALSE)</f>
        <v>Colle bicomposant</v>
      </c>
      <c r="E46" s="1785"/>
      <c r="F46" s="166" t="str">
        <f>_xlfn.XLOOKUP($G46,'Baumaterialien Matériaux'!$A:$A,'Baumaterialien Matériaux'!G:G,0,0)</f>
        <v>kg</v>
      </c>
      <c r="G46" s="568" t="s">
        <v>740</v>
      </c>
      <c r="H46" s="538">
        <v>0.2</v>
      </c>
      <c r="I46" s="538"/>
      <c r="J46" s="541">
        <v>60</v>
      </c>
      <c r="K46" s="859">
        <f>$H46*_xlfn.XLOOKUP($G46,'Baumaterialien Matériaux'!$A:$A,'Baumaterialien Matériaux'!V:V,0,0)</f>
        <v>4.84</v>
      </c>
      <c r="L46" s="859">
        <f>$H46*_xlfn.XLOOKUP($G46,'Baumaterialien Matériaux'!$A:$A,'Baumaterialien Matériaux'!Y:Y,0,0)</f>
        <v>1.1160000000000002E-2</v>
      </c>
      <c r="M46" s="859">
        <f>$H46*_xlfn.XLOOKUP($G46,'Baumaterialien Matériaux'!$A:$A,'Baumaterialien Matériaux'!AA:AA,0,0)</f>
        <v>0.93000000000000016</v>
      </c>
      <c r="N46" s="859">
        <f>$H46*_xlfn.XLOOKUP($G46,'Baumaterialien Matériaux'!$A:$A,'Baumaterialien Matériaux'!AB:AB,0,0)</f>
        <v>3.7400000000000003E-2</v>
      </c>
      <c r="O46" s="859">
        <f>$H46*_xlfn.XLOOKUP($G46,'Baumaterialien Matériaux'!$A:$A,'Baumaterialien Matériaux'!AC:AC,0,0)*44/12</f>
        <v>0</v>
      </c>
      <c r="P46" s="859">
        <f>$H46*_xlfn.XLOOKUP($G46,'Baumaterialien Matériaux'!$A:$A,'Baumaterialien Matériaux'!AG:AG,0,0)</f>
        <v>0</v>
      </c>
      <c r="Q46" s="1112">
        <f>$H46*_xlfn.XLOOKUP($G46,'Baumaterialien Matériaux'!$A:$A,'Baumaterialien Matériaux'!AH:AH,0,0)</f>
        <v>0</v>
      </c>
      <c r="R46" s="133"/>
      <c r="S46" s="133"/>
      <c r="T46" s="1099"/>
    </row>
    <row r="47" spans="1:21" s="540" customFormat="1" ht="15.75" customHeight="1">
      <c r="B47" s="555"/>
      <c r="C47" s="570" t="s">
        <v>815</v>
      </c>
      <c r="D47" s="538" t="str">
        <f>VLOOKUP(G47,'Baumaterialien Matériaux'!$A$10:$AD$432,30,FALSE)</f>
        <v>Gravier concassé 1</v>
      </c>
      <c r="E47" s="1785"/>
      <c r="F47" s="166" t="str">
        <f>_xlfn.XLOOKUP($G47,'Baumaterialien Matériaux'!$A:$A,'Baumaterialien Matériaux'!G:G,0,0)</f>
        <v>kg</v>
      </c>
      <c r="G47" s="568" t="s">
        <v>816</v>
      </c>
      <c r="H47" s="538">
        <v>80</v>
      </c>
      <c r="I47" s="538"/>
      <c r="J47" s="541">
        <v>60</v>
      </c>
      <c r="K47" s="859">
        <f>$H47*_xlfn.XLOOKUP($G47,'Baumaterialien Matériaux'!$A:$A,'Baumaterialien Matériaux'!V:V,0,0)</f>
        <v>2.5679999999999996</v>
      </c>
      <c r="L47" s="859">
        <f>$H47*_xlfn.XLOOKUP($G47,'Baumaterialien Matériaux'!$A:$A,'Baumaterialien Matériaux'!Y:Y,0,0)</f>
        <v>4.2080000000000002</v>
      </c>
      <c r="M47" s="859">
        <f>$H47*_xlfn.XLOOKUP($G47,'Baumaterialien Matériaux'!$A:$A,'Baumaterialien Matériaux'!AA:AA,0,0)</f>
        <v>0.40079999999999999</v>
      </c>
      <c r="N47" s="859">
        <f>$H47*_xlfn.XLOOKUP($G47,'Baumaterialien Matériaux'!$A:$A,'Baumaterialien Matériaux'!AB:AB,0,0)</f>
        <v>1.008</v>
      </c>
      <c r="O47" s="859">
        <f>$H47*_xlfn.XLOOKUP($G47,'Baumaterialien Matériaux'!$A:$A,'Baumaterialien Matériaux'!AC:AC,0,0)*44/12</f>
        <v>0</v>
      </c>
      <c r="P47" s="859">
        <f>$H47*_xlfn.XLOOKUP($G47,'Baumaterialien Matériaux'!$A:$A,'Baumaterialien Matériaux'!AG:AG,0,0)</f>
        <v>0</v>
      </c>
      <c r="Q47" s="1112">
        <f>$H47*_xlfn.XLOOKUP($G47,'Baumaterialien Matériaux'!$A:$A,'Baumaterialien Matériaux'!AH:AH,0,0)</f>
        <v>0</v>
      </c>
      <c r="R47" s="133"/>
      <c r="S47" s="133"/>
      <c r="T47" s="1099"/>
    </row>
    <row r="48" spans="1:21" s="577" customFormat="1" ht="16.5" customHeight="1" thickBot="1">
      <c r="B48" s="626"/>
      <c r="G48" s="579"/>
      <c r="J48" s="870"/>
      <c r="K48" s="860">
        <f t="shared" ref="K48:L48" si="18">SUM(K45:K47)</f>
        <v>36.072831999999991</v>
      </c>
      <c r="L48" s="860">
        <f t="shared" si="18"/>
        <v>7.9189232000000001</v>
      </c>
      <c r="M48" s="860">
        <f t="shared" ref="M48:O48" si="19">SUM(M45:M47)</f>
        <v>6.9137760000000004</v>
      </c>
      <c r="N48" s="860">
        <f t="shared" si="19"/>
        <v>2.6702960000000004</v>
      </c>
      <c r="O48" s="860">
        <f t="shared" si="19"/>
        <v>68.898368000000005</v>
      </c>
      <c r="P48" s="860">
        <f t="shared" ref="P48:Q48" si="20">SUM(P45:P47)</f>
        <v>0</v>
      </c>
      <c r="Q48" s="860">
        <f t="shared" si="20"/>
        <v>0</v>
      </c>
      <c r="R48" s="133"/>
      <c r="S48" s="1190">
        <f>(M48+N48)/J47</f>
        <v>0.15973453333333335</v>
      </c>
      <c r="T48" s="668">
        <v>0.32</v>
      </c>
    </row>
    <row r="49" spans="1:21" ht="16.5" customHeight="1" thickTop="1">
      <c r="B49" s="974"/>
      <c r="J49" s="868"/>
      <c r="K49" s="857"/>
      <c r="L49" s="857"/>
      <c r="M49" s="857"/>
      <c r="N49" s="857"/>
      <c r="O49" s="857"/>
      <c r="P49" s="857"/>
      <c r="Q49" s="857"/>
      <c r="R49" s="125"/>
      <c r="S49" s="125"/>
      <c r="T49" s="842"/>
    </row>
    <row r="50" spans="1:21" s="1095" customFormat="1" ht="14.25">
      <c r="A50" s="698" t="s">
        <v>736</v>
      </c>
      <c r="B50" s="1907" t="s">
        <v>735</v>
      </c>
      <c r="C50" s="166" t="s">
        <v>817</v>
      </c>
      <c r="D50" s="166" t="str">
        <f>VLOOKUP(G50,'Baumaterialien Matériaux'!$A$10:$AD$432,30,FALSE)</f>
        <v>Bois massif épicéa / sapin / mélèze, séché en cellule, raboté</v>
      </c>
      <c r="E50" s="1403"/>
      <c r="F50" s="166" t="str">
        <f>VLOOKUP(G50,'Baumaterialien Matériaux'!$A$10:$AD$432,7,FALSE)</f>
        <v>kg</v>
      </c>
      <c r="G50" s="518" t="s">
        <v>651</v>
      </c>
      <c r="H50" s="167">
        <f>0.58*465*24*6/3016</f>
        <v>12.876923076923076</v>
      </c>
      <c r="I50" s="166"/>
      <c r="J50" s="166">
        <v>60</v>
      </c>
      <c r="K50" s="852">
        <f>$H50*_xlfn.XLOOKUP($G50,'Baumaterialien Matériaux'!$A:$A,'Baumaterialien Matériaux'!V:V,0,0)</f>
        <v>8.8593230769230757</v>
      </c>
      <c r="L50" s="852">
        <f>$H50*_xlfn.XLOOKUP($G50,'Baumaterialien Matériaux'!$A:$A,'Baumaterialien Matériaux'!Y:Y,0,0)</f>
        <v>1.1434707692307691</v>
      </c>
      <c r="M50" s="852">
        <f>$H50*_xlfn.XLOOKUP($G50,'Baumaterialien Matériaux'!$A:$A,'Baumaterialien Matériaux'!AA:AA,0,0)</f>
        <v>1.7255076923076922</v>
      </c>
      <c r="N50" s="852">
        <f>$H50*_xlfn.XLOOKUP($G50,'Baumaterialien Matériaux'!$A:$A,'Baumaterialien Matériaux'!AB:AB,0,0)</f>
        <v>0.50219999999999998</v>
      </c>
      <c r="O50" s="852">
        <f>$H50*_xlfn.XLOOKUP($G50,'Baumaterialien Matériaux'!$A:$A,'Baumaterialien Matériaux'!AC:AC,0,0)*44/12</f>
        <v>21.294138461538459</v>
      </c>
      <c r="P50" s="852">
        <f>$H50*_xlfn.XLOOKUP($G50,'Baumaterialien Matériaux'!$A:$A,'Baumaterialien Matériaux'!AG:AG,0,0)</f>
        <v>0</v>
      </c>
      <c r="Q50" s="1111">
        <f>$H50*_xlfn.XLOOKUP($G50,'Baumaterialien Matériaux'!$A:$A,'Baumaterialien Matériaux'!AH:AH,0,0)</f>
        <v>0</v>
      </c>
      <c r="R50" s="1943"/>
      <c r="S50" s="1943"/>
      <c r="T50" s="1943"/>
    </row>
    <row r="51" spans="1:21" ht="14.25">
      <c r="B51" s="1907"/>
      <c r="C51" s="166" t="s">
        <v>818</v>
      </c>
      <c r="D51" s="166" t="str">
        <f>VLOOKUP(G51,'Baumaterialien Matériaux'!$A$10:$AD$432,30,FALSE)</f>
        <v>Bois lamellé-collé</v>
      </c>
      <c r="E51" s="1403"/>
      <c r="F51" s="166" t="str">
        <f>VLOOKUP(G51,'Baumaterialien Matériaux'!$A$10:$AD$432,7,FALSE)</f>
        <v>kg</v>
      </c>
      <c r="G51" s="279" t="s">
        <v>819</v>
      </c>
      <c r="H51" s="167">
        <f>0.026*439*120/600</f>
        <v>2.2827999999999999</v>
      </c>
      <c r="I51" s="166"/>
      <c r="J51" s="166">
        <v>60</v>
      </c>
      <c r="K51" s="852">
        <f>$H51*_xlfn.XLOOKUP($G51,'Baumaterialien Matériaux'!$A:$A,'Baumaterialien Matériaux'!V:V,0,0)</f>
        <v>3.2872319999999999</v>
      </c>
      <c r="L51" s="852">
        <f>$H51*_xlfn.XLOOKUP($G51,'Baumaterialien Matériaux'!$A:$A,'Baumaterialien Matériaux'!Y:Y,0,0)</f>
        <v>0.2077348</v>
      </c>
      <c r="M51" s="852">
        <f>$H51*_xlfn.XLOOKUP($G51,'Baumaterialien Matériaux'!$A:$A,'Baumaterialien Matériaux'!AA:AA,0,0)</f>
        <v>0.65288079999999993</v>
      </c>
      <c r="N51" s="852">
        <f>$H51*_xlfn.XLOOKUP($G51,'Baumaterialien Matériaux'!$A:$A,'Baumaterialien Matériaux'!AB:AB,0,0)</f>
        <v>0.11231376</v>
      </c>
      <c r="O51" s="852">
        <f>$H51*_xlfn.XLOOKUP($G51,'Baumaterialien Matériaux'!$A:$A,'Baumaterialien Matériaux'!AC:AC,0,0)*44/12</f>
        <v>3.7331389333333331</v>
      </c>
      <c r="P51" s="852">
        <f>$H51*_xlfn.XLOOKUP($G51,'Baumaterialien Matériaux'!$A:$A,'Baumaterialien Matériaux'!AG:AG,0,0)</f>
        <v>0</v>
      </c>
      <c r="Q51" s="1111">
        <f>$H51*_xlfn.XLOOKUP($G51,'Baumaterialien Matériaux'!$A:$A,'Baumaterialien Matériaux'!AH:AH,0,0)</f>
        <v>0</v>
      </c>
      <c r="R51" s="1944"/>
      <c r="S51" s="1944"/>
      <c r="T51" s="1944"/>
    </row>
    <row r="52" spans="1:21" ht="14.25">
      <c r="B52" s="1907"/>
      <c r="C52" s="166" t="s">
        <v>739</v>
      </c>
      <c r="D52" s="166" t="str">
        <f>VLOOKUP(G52,'Baumaterialien Matériaux'!$A$10:$AD$432,30,FALSE)</f>
        <v>Colle bicomposant</v>
      </c>
      <c r="E52" s="1403"/>
      <c r="F52" s="166" t="str">
        <f>VLOOKUP(G52,'Baumaterialien Matériaux'!$A$10:$AD$432,7,FALSE)</f>
        <v>kg</v>
      </c>
      <c r="G52" s="518" t="s">
        <v>740</v>
      </c>
      <c r="H52" s="167">
        <v>0.28000000000000003</v>
      </c>
      <c r="I52" s="166"/>
      <c r="J52" s="166">
        <v>60</v>
      </c>
      <c r="K52" s="852">
        <f>$H52*_xlfn.XLOOKUP($G52,'Baumaterialien Matériaux'!$A:$A,'Baumaterialien Matériaux'!V:V,0,0)</f>
        <v>6.7760000000000007</v>
      </c>
      <c r="L52" s="852">
        <f>$H52*_xlfn.XLOOKUP($G52,'Baumaterialien Matériaux'!$A:$A,'Baumaterialien Matériaux'!Y:Y,0,0)</f>
        <v>1.5624000000000002E-2</v>
      </c>
      <c r="M52" s="852">
        <f>$H52*_xlfn.XLOOKUP($G52,'Baumaterialien Matériaux'!$A:$A,'Baumaterialien Matériaux'!AA:AA,0,0)</f>
        <v>1.3020000000000003</v>
      </c>
      <c r="N52" s="852">
        <f>$H52*_xlfn.XLOOKUP($G52,'Baumaterialien Matériaux'!$A:$A,'Baumaterialien Matériaux'!AB:AB,0,0)</f>
        <v>5.2360000000000004E-2</v>
      </c>
      <c r="O52" s="852">
        <f>$H52*_xlfn.XLOOKUP($G52,'Baumaterialien Matériaux'!$A:$A,'Baumaterialien Matériaux'!AC:AC,0,0)*44/12</f>
        <v>0</v>
      </c>
      <c r="P52" s="852">
        <f>$H52*_xlfn.XLOOKUP($G52,'Baumaterialien Matériaux'!$A:$A,'Baumaterialien Matériaux'!AG:AG,0,0)</f>
        <v>0</v>
      </c>
      <c r="Q52" s="1111">
        <f>$H52*_xlfn.XLOOKUP($G52,'Baumaterialien Matériaux'!$A:$A,'Baumaterialien Matériaux'!AH:AH,0,0)</f>
        <v>0</v>
      </c>
      <c r="R52" s="1944"/>
      <c r="S52" s="1944"/>
      <c r="T52" s="1944"/>
    </row>
    <row r="53" spans="1:21" s="572" customFormat="1" ht="15.75" thickBot="1">
      <c r="B53" s="1144"/>
      <c r="C53" s="572" t="s">
        <v>820</v>
      </c>
      <c r="D53" s="575" t="str">
        <f>VLOOKUP(G53,'Baumaterialien Matériaux'!$A$10:$AD$432,30,FALSE)</f>
        <v>Bois massif 3 et 5 plis</v>
      </c>
      <c r="E53" s="575"/>
      <c r="F53" s="575" t="str">
        <f>VLOOKUP(G53,'Baumaterialien Matériaux'!$A$10:$AD$432,7,FALSE)</f>
        <v>kg</v>
      </c>
      <c r="G53" s="1075" t="s">
        <v>590</v>
      </c>
      <c r="H53" s="837">
        <f>0.032*453</f>
        <v>14.496</v>
      </c>
      <c r="J53" s="575">
        <v>60</v>
      </c>
      <c r="K53" s="1123">
        <f>$H53*_xlfn.XLOOKUP($G53,'Baumaterialien Matériaux'!$A:$A,'Baumaterialien Matériaux'!V:V,0,0)</f>
        <v>30.29664</v>
      </c>
      <c r="L53" s="1123">
        <f>$H53*_xlfn.XLOOKUP($G53,'Baumaterialien Matériaux'!$A:$A,'Baumaterialien Matériaux'!Y:Y,0,0)</f>
        <v>1.3379808</v>
      </c>
      <c r="M53" s="1123">
        <f>$H53*_xlfn.XLOOKUP($G53,'Baumaterialien Matériaux'!$A:$A,'Baumaterialien Matériaux'!AA:AA,0,0)</f>
        <v>6.0013439999999996</v>
      </c>
      <c r="N53" s="1123">
        <f>$H53*_xlfn.XLOOKUP($G53,'Baumaterialien Matériaux'!$A:$A,'Baumaterialien Matériaux'!AB:AB,0,0)</f>
        <v>0.80162880000000003</v>
      </c>
      <c r="O53" s="1123">
        <f>$H53*_xlfn.XLOOKUP($G53,'Baumaterialien Matériaux'!$A:$A,'Baumaterialien Matériaux'!AC:AC,0,0)*44/12</f>
        <v>23.014816</v>
      </c>
      <c r="P53" s="1123">
        <f>$H53*_xlfn.XLOOKUP($G53,'Baumaterialien Matériaux'!$A:$A,'Baumaterialien Matériaux'!AG:AG,0,0)</f>
        <v>0</v>
      </c>
      <c r="Q53" s="1124">
        <f>$H53*_xlfn.XLOOKUP($G53,'Baumaterialien Matériaux'!$A:$A,'Baumaterialien Matériaux'!AH:AH,0,0)</f>
        <v>0</v>
      </c>
      <c r="R53" s="1145"/>
      <c r="S53" s="1190">
        <f>(M53+N53)/J52</f>
        <v>0.11338287999999999</v>
      </c>
      <c r="T53" s="1145"/>
    </row>
    <row r="54" spans="1:21" thickTop="1">
      <c r="B54" s="1089"/>
      <c r="D54" s="531"/>
      <c r="E54" s="1765"/>
      <c r="F54" s="531"/>
      <c r="G54" s="1143"/>
      <c r="H54" s="968"/>
      <c r="J54" s="974"/>
      <c r="K54" s="1116"/>
      <c r="L54" s="1116"/>
      <c r="M54" s="1116"/>
      <c r="N54" s="1116"/>
      <c r="O54" s="1116"/>
      <c r="P54" s="1116"/>
      <c r="Q54" s="1117"/>
      <c r="R54" s="956"/>
      <c r="S54" s="956"/>
      <c r="T54" s="956"/>
    </row>
    <row r="55" spans="1:21" s="149" customFormat="1" ht="13.9" customHeight="1">
      <c r="A55" s="1096" t="s">
        <v>821</v>
      </c>
      <c r="B55" s="165" t="s">
        <v>822</v>
      </c>
      <c r="C55" s="137" t="s">
        <v>823</v>
      </c>
      <c r="D55" s="166" t="str">
        <f>VLOOKUP(G55,'Baumaterialien Matériaux'!$A$10:$AD$432,30,FALSE)</f>
        <v>Béton pour bâtiment (sans armature)</v>
      </c>
      <c r="E55" s="1403"/>
      <c r="F55" s="166" t="str">
        <f>_xlfn.XLOOKUP($G55,'Baumaterialien Matériaux'!$A:$A,'Baumaterialien Matériaux'!G:G,0,0)</f>
        <v>kg</v>
      </c>
      <c r="G55" s="520" t="s">
        <v>570</v>
      </c>
      <c r="H55" s="167">
        <f>0.09*(1-30/7850)*2300</f>
        <v>206.20891719745222</v>
      </c>
      <c r="I55" s="166"/>
      <c r="J55" s="514">
        <v>60</v>
      </c>
      <c r="K55" s="852">
        <f>$H55*_xlfn.XLOOKUP($G55,'Baumaterialien Matériaux'!$A:$A,'Baumaterialien Matériaux'!V:V,0,0)</f>
        <v>25.363696815286623</v>
      </c>
      <c r="L55" s="852">
        <f>$H55*_xlfn.XLOOKUP($G55,'Baumaterialien Matériaux'!$A:$A,'Baumaterialien Matériaux'!Y:Y,0,0)</f>
        <v>10.578517452229299</v>
      </c>
      <c r="M55" s="852">
        <f>$H55*_xlfn.XLOOKUP($G55,'Baumaterialien Matériaux'!$A:$A,'Baumaterialien Matériaux'!AA:AA,0,0)</f>
        <v>18.290730955414013</v>
      </c>
      <c r="N55" s="852">
        <f>$H55*_xlfn.XLOOKUP($G55,'Baumaterialien Matériaux'!$A:$A,'Baumaterialien Matériaux'!AB:AB,0,0)</f>
        <v>2.5982323566878982</v>
      </c>
      <c r="O55" s="852">
        <f>$H55*_xlfn.XLOOKUP($G55,'Baumaterialien Matériaux'!$A:$A,'Baumaterialien Matériaux'!AC:AC,0,0)*44/12</f>
        <v>0</v>
      </c>
      <c r="P55" s="852">
        <f>$H55*_xlfn.XLOOKUP($G55,'Baumaterialien Matériaux'!$A:$A,'Baumaterialien Matériaux'!AG:AG,0,0)</f>
        <v>0</v>
      </c>
      <c r="Q55" s="1111">
        <f>$H55*_xlfn.XLOOKUP($G55,'Baumaterialien Matériaux'!$A:$A,'Baumaterialien Matériaux'!AH:AH,0,0)</f>
        <v>0</v>
      </c>
      <c r="R55" s="133"/>
      <c r="S55" s="133"/>
      <c r="T55" s="1099"/>
      <c r="U55" s="1095"/>
    </row>
    <row r="56" spans="1:21" ht="15.75" customHeight="1">
      <c r="A56" s="159"/>
      <c r="B56" s="165"/>
      <c r="C56" s="137" t="s">
        <v>614</v>
      </c>
      <c r="D56" s="166" t="str">
        <f>VLOOKUP(G56,'Baumaterialien Matériaux'!$A$10:$AD$432,30,FALSE)</f>
        <v>Acier d'armature</v>
      </c>
      <c r="E56" s="1403"/>
      <c r="F56" s="166" t="str">
        <f>_xlfn.XLOOKUP($G56,'Baumaterialien Matériaux'!$A:$A,'Baumaterialien Matériaux'!G:G,0,0)</f>
        <v>kg</v>
      </c>
      <c r="G56" s="508" t="s">
        <v>572</v>
      </c>
      <c r="H56" s="167">
        <v>2.7</v>
      </c>
      <c r="I56" s="166"/>
      <c r="J56" s="514">
        <v>60</v>
      </c>
      <c r="K56" s="852">
        <f>$H56*_xlfn.XLOOKUP($G56,'Baumaterialien Matériaux'!$A:$A,'Baumaterialien Matériaux'!V:V,0,0)</f>
        <v>9.1530000000000005</v>
      </c>
      <c r="L56" s="852">
        <f>$H56*_xlfn.XLOOKUP($G56,'Baumaterialien Matériaux'!$A:$A,'Baumaterialien Matériaux'!Y:Y,0,0)</f>
        <v>0.13635000000000003</v>
      </c>
      <c r="M56" s="852">
        <f>$H56*_xlfn.XLOOKUP($G56,'Baumaterialien Matériaux'!$A:$A,'Baumaterialien Matériaux'!AA:AA,0,0)</f>
        <v>2.0871000000000004</v>
      </c>
      <c r="N56" s="852">
        <f>$H56*_xlfn.XLOOKUP($G56,'Baumaterialien Matériaux'!$A:$A,'Baumaterialien Matériaux'!AB:AB,0,0)</f>
        <v>3.2940000000000004E-2</v>
      </c>
      <c r="O56" s="852">
        <f>$H56*_xlfn.XLOOKUP($G56,'Baumaterialien Matériaux'!$A:$A,'Baumaterialien Matériaux'!AC:AC,0,0)*44/12</f>
        <v>0</v>
      </c>
      <c r="P56" s="852">
        <f>$H56*_xlfn.XLOOKUP($G56,'Baumaterialien Matériaux'!$A:$A,'Baumaterialien Matériaux'!AG:AG,0,0)</f>
        <v>0</v>
      </c>
      <c r="Q56" s="1111">
        <f>$H56*_xlfn.XLOOKUP($G56,'Baumaterialien Matériaux'!$A:$A,'Baumaterialien Matériaux'!AH:AH,0,0)</f>
        <v>0</v>
      </c>
      <c r="T56" s="1099"/>
    </row>
    <row r="57" spans="1:21" ht="15.75" customHeight="1">
      <c r="A57" s="159"/>
      <c r="B57" s="165"/>
      <c r="C57" s="137" t="s">
        <v>618</v>
      </c>
      <c r="D57" s="166" t="str">
        <f>VLOOKUP(G57,'Baumaterialien Matériaux'!$A$10:$AD$432,30,FALSE)</f>
        <v>Bois massif épicéa / sapin / mélèze, séché à l'air, brut</v>
      </c>
      <c r="E57" s="1403"/>
      <c r="F57" s="166" t="str">
        <f>_xlfn.XLOOKUP($G57,'Baumaterialien Matériaux'!$A:$A,'Baumaterialien Matériaux'!G:G,0,0)</f>
        <v>kg</v>
      </c>
      <c r="G57" s="508" t="s">
        <v>619</v>
      </c>
      <c r="H57" s="167">
        <f>0.13*485</f>
        <v>63.050000000000004</v>
      </c>
      <c r="I57" s="166"/>
      <c r="J57" s="514">
        <v>60</v>
      </c>
      <c r="K57" s="852">
        <f>$H57*_xlfn.XLOOKUP($G57,'Baumaterialien Matériaux'!$A:$A,'Baumaterialien Matériaux'!V:V,0,0)</f>
        <v>26.544050000000002</v>
      </c>
      <c r="L57" s="852">
        <f>$H57*_xlfn.XLOOKUP($G57,'Baumaterialien Matériaux'!$A:$A,'Baumaterialien Matériaux'!Y:Y,0,0)</f>
        <v>5.5988400000000009</v>
      </c>
      <c r="M57" s="852">
        <f>$H57*_xlfn.XLOOKUP($G57,'Baumaterialien Matériaux'!$A:$A,'Baumaterialien Matériaux'!AA:AA,0,0)</f>
        <v>5.6997200000000001</v>
      </c>
      <c r="N57" s="852">
        <f>$H57*_xlfn.XLOOKUP($G57,'Baumaterialien Matériaux'!$A:$A,'Baumaterialien Matériaux'!AB:AB,0,0)</f>
        <v>2.4589500000000002</v>
      </c>
      <c r="O57" s="852">
        <f>$H57*_xlfn.XLOOKUP($G57,'Baumaterialien Matériaux'!$A:$A,'Baumaterialien Matériaux'!AC:AC,0,0)*44/12</f>
        <v>95.478716666666671</v>
      </c>
      <c r="P57" s="852">
        <f>$H57*_xlfn.XLOOKUP($G57,'Baumaterialien Matériaux'!$A:$A,'Baumaterialien Matériaux'!AG:AG,0,0)</f>
        <v>0</v>
      </c>
      <c r="Q57" s="1111">
        <f>$H57*_xlfn.XLOOKUP($G57,'Baumaterialien Matériaux'!$A:$A,'Baumaterialien Matériaux'!AH:AH,0,0)</f>
        <v>0</v>
      </c>
      <c r="T57" s="1099"/>
    </row>
    <row r="58" spans="1:21" s="572" customFormat="1" ht="16.5" customHeight="1" thickBot="1">
      <c r="B58" s="619"/>
      <c r="G58" s="573"/>
      <c r="J58" s="871"/>
      <c r="K58" s="861">
        <f t="shared" ref="K58:L58" si="21">SUM(K55:K57)</f>
        <v>61.06074681528662</v>
      </c>
      <c r="L58" s="861">
        <f t="shared" si="21"/>
        <v>16.313707452229302</v>
      </c>
      <c r="M58" s="861">
        <f t="shared" ref="M58:O58" si="22">SUM(M55:M57)</f>
        <v>26.077550955414011</v>
      </c>
      <c r="N58" s="861">
        <f t="shared" si="22"/>
        <v>5.0901223566878979</v>
      </c>
      <c r="O58" s="861">
        <f t="shared" si="22"/>
        <v>95.478716666666671</v>
      </c>
      <c r="P58" s="861">
        <f t="shared" ref="P58:Q58" si="23">SUM(P55:P57)</f>
        <v>0</v>
      </c>
      <c r="Q58" s="861">
        <f t="shared" si="23"/>
        <v>0</v>
      </c>
      <c r="R58" s="133"/>
      <c r="S58" s="1190">
        <f>(M58+N58)/J57</f>
        <v>0.51946122186836519</v>
      </c>
      <c r="T58" s="668">
        <v>0.66</v>
      </c>
    </row>
    <row r="59" spans="1:21" ht="16.5" customHeight="1" thickTop="1">
      <c r="J59" s="868"/>
      <c r="K59" s="857"/>
      <c r="L59" s="857"/>
      <c r="M59" s="857"/>
      <c r="N59" s="857"/>
      <c r="O59" s="857"/>
      <c r="P59" s="857"/>
      <c r="Q59" s="857"/>
    </row>
    <row r="60" spans="1:21" s="134" customFormat="1" ht="15.75" customHeight="1">
      <c r="A60" s="632" t="s">
        <v>446</v>
      </c>
      <c r="B60" s="134" t="str">
        <f>'Outil détaillé'!D38</f>
        <v>Escaliers et rampes</v>
      </c>
      <c r="G60" s="628"/>
      <c r="J60" s="872"/>
      <c r="K60" s="862"/>
      <c r="L60" s="862"/>
      <c r="M60" s="862"/>
      <c r="N60" s="862"/>
      <c r="O60" s="862"/>
      <c r="P60" s="862"/>
      <c r="Q60" s="862"/>
      <c r="R60" s="133"/>
      <c r="S60" s="133"/>
    </row>
    <row r="61" spans="1:21" s="624" customFormat="1" ht="16.5" customHeight="1" thickBot="1">
      <c r="A61" s="1056" t="s">
        <v>824</v>
      </c>
      <c r="B61" s="555" t="s">
        <v>722</v>
      </c>
      <c r="C61" s="570" t="s">
        <v>723</v>
      </c>
      <c r="D61" s="538" t="str">
        <f>VLOOKUP(G61,'Baumaterialien Matériaux'!$A$10:$AD$432,30,FALSE)</f>
        <v>Béton pour bâtiment (sans armature)</v>
      </c>
      <c r="E61" s="1785"/>
      <c r="F61" s="166" t="str">
        <f>_xlfn.XLOOKUP($G61,'Baumaterialien Matériaux'!$A:$A,'Baumaterialien Matériaux'!G:G,0,0)</f>
        <v>kg</v>
      </c>
      <c r="G61" s="561" t="s">
        <v>570</v>
      </c>
      <c r="H61" s="539">
        <f>(0.25-H62/7850)*2300</f>
        <v>568.40764331210187</v>
      </c>
      <c r="I61" s="538"/>
      <c r="J61" s="541">
        <v>60</v>
      </c>
      <c r="K61" s="859">
        <f>$H61*_xlfn.XLOOKUP($G61,'Baumaterialien Matériaux'!$A:$A,'Baumaterialien Matériaux'!V:V,0,0)</f>
        <v>69.914140127388535</v>
      </c>
      <c r="L61" s="859">
        <f>$H61*_xlfn.XLOOKUP($G61,'Baumaterialien Matériaux'!$A:$A,'Baumaterialien Matériaux'!Y:Y,0,0)</f>
        <v>29.159312101910825</v>
      </c>
      <c r="M61" s="859">
        <f>$H61*_xlfn.XLOOKUP($G61,'Baumaterialien Matériaux'!$A:$A,'Baumaterialien Matériaux'!AA:AA,0,0)</f>
        <v>50.417757961783437</v>
      </c>
      <c r="N61" s="859">
        <f>$H61*_xlfn.XLOOKUP($G61,'Baumaterialien Matériaux'!$A:$A,'Baumaterialien Matériaux'!AB:AB,0,0)</f>
        <v>7.1619363057324836</v>
      </c>
      <c r="O61" s="859">
        <f>$H61*_xlfn.XLOOKUP($G61,'Baumaterialien Matériaux'!$A:$A,'Baumaterialien Matériaux'!AC:AC,0,0)*44/12</f>
        <v>0</v>
      </c>
      <c r="P61" s="859">
        <f>$H61*_xlfn.XLOOKUP($G61,'Baumaterialien Matériaux'!$A:$A,'Baumaterialien Matériaux'!AG:AG,0,0)</f>
        <v>0</v>
      </c>
      <c r="Q61" s="1112">
        <f>$H61*_xlfn.XLOOKUP($G61,'Baumaterialien Matériaux'!$A:$A,'Baumaterialien Matériaux'!AH:AH,0,0)</f>
        <v>0</v>
      </c>
      <c r="R61" s="133"/>
      <c r="S61" s="133"/>
      <c r="T61" s="1099"/>
    </row>
    <row r="62" spans="1:21" s="540" customFormat="1" ht="16.5" customHeight="1" thickTop="1">
      <c r="A62" s="796"/>
      <c r="B62" s="555"/>
      <c r="C62" s="625" t="s">
        <v>811</v>
      </c>
      <c r="D62" s="538" t="str">
        <f>VLOOKUP(G62,'Baumaterialien Matériaux'!$A$10:$AD$432,30,FALSE)</f>
        <v>Acier d'armature</v>
      </c>
      <c r="E62" s="1785"/>
      <c r="F62" s="166" t="str">
        <f>_xlfn.XLOOKUP($G62,'Baumaterialien Matériaux'!$A:$A,'Baumaterialien Matériaux'!G:G,0,0)</f>
        <v>kg</v>
      </c>
      <c r="G62" s="546" t="s">
        <v>572</v>
      </c>
      <c r="H62" s="539">
        <f>90*0.25</f>
        <v>22.5</v>
      </c>
      <c r="I62" s="538"/>
      <c r="J62" s="541">
        <v>60</v>
      </c>
      <c r="K62" s="859">
        <f>$H62*_xlfn.XLOOKUP($G62,'Baumaterialien Matériaux'!$A:$A,'Baumaterialien Matériaux'!V:V,0,0)</f>
        <v>76.275000000000006</v>
      </c>
      <c r="L62" s="859">
        <f>$H62*_xlfn.XLOOKUP($G62,'Baumaterialien Matériaux'!$A:$A,'Baumaterialien Matériaux'!Y:Y,0,0)</f>
        <v>1.13625</v>
      </c>
      <c r="M62" s="859">
        <f>$H62*_xlfn.XLOOKUP($G62,'Baumaterialien Matériaux'!$A:$A,'Baumaterialien Matériaux'!AA:AA,0,0)</f>
        <v>17.392500000000002</v>
      </c>
      <c r="N62" s="859">
        <f>$H62*_xlfn.XLOOKUP($G62,'Baumaterialien Matériaux'!$A:$A,'Baumaterialien Matériaux'!AB:AB,0,0)</f>
        <v>0.27450000000000002</v>
      </c>
      <c r="O62" s="859">
        <f>$H62*_xlfn.XLOOKUP($G62,'Baumaterialien Matériaux'!$A:$A,'Baumaterialien Matériaux'!AC:AC,0,0)*44/12</f>
        <v>0</v>
      </c>
      <c r="P62" s="859">
        <f>$H62*_xlfn.XLOOKUP($G62,'Baumaterialien Matériaux'!$A:$A,'Baumaterialien Matériaux'!AG:AG,0,0)</f>
        <v>0</v>
      </c>
      <c r="Q62" s="1112">
        <f>$H62*_xlfn.XLOOKUP($G62,'Baumaterialien Matériaux'!$A:$A,'Baumaterialien Matériaux'!AH:AH,0,0)</f>
        <v>0</v>
      </c>
      <c r="R62" s="133"/>
      <c r="S62" s="133"/>
      <c r="T62" s="1099"/>
    </row>
    <row r="63" spans="1:21" s="540" customFormat="1" ht="15.75" customHeight="1">
      <c r="B63" s="555"/>
      <c r="C63" s="570" t="s">
        <v>615</v>
      </c>
      <c r="D63" s="538" t="str">
        <f>VLOOKUP(G63,'Baumaterialien Matériaux'!$A$10:$AD$432,30,FALSE)</f>
        <v>Bois massif 3 et 5 plis</v>
      </c>
      <c r="E63" s="1785"/>
      <c r="F63" s="166" t="str">
        <f>_xlfn.XLOOKUP($G63,'Baumaterialien Matériaux'!$A:$A,'Baumaterialien Matériaux'!G:G,0,0)</f>
        <v>kg</v>
      </c>
      <c r="G63" s="546" t="s">
        <v>590</v>
      </c>
      <c r="H63" s="539">
        <f>2/5*0.025*470</f>
        <v>4.7000000000000011</v>
      </c>
      <c r="I63" s="538"/>
      <c r="J63" s="541">
        <v>60</v>
      </c>
      <c r="K63" s="859">
        <f>$H63*_xlfn.XLOOKUP($G63,'Baumaterialien Matériaux'!$A:$A,'Baumaterialien Matériaux'!V:V,0,0)</f>
        <v>9.8230000000000022</v>
      </c>
      <c r="L63" s="859">
        <f>$H63*_xlfn.XLOOKUP($G63,'Baumaterialien Matériaux'!$A:$A,'Baumaterialien Matériaux'!Y:Y,0,0)</f>
        <v>0.43381000000000008</v>
      </c>
      <c r="M63" s="859">
        <f>$H63*_xlfn.XLOOKUP($G63,'Baumaterialien Matériaux'!$A:$A,'Baumaterialien Matériaux'!AA:AA,0,0)</f>
        <v>1.9458000000000004</v>
      </c>
      <c r="N63" s="859">
        <f>$H63*_xlfn.XLOOKUP($G63,'Baumaterialien Matériaux'!$A:$A,'Baumaterialien Matériaux'!AB:AB,0,0)</f>
        <v>0.25991000000000009</v>
      </c>
      <c r="O63" s="859">
        <f>$H63*_xlfn.XLOOKUP($G63,'Baumaterialien Matériaux'!$A:$A,'Baumaterialien Matériaux'!AC:AC,0,0)*44/12</f>
        <v>7.4620333333333342</v>
      </c>
      <c r="P63" s="859">
        <f>$H63*_xlfn.XLOOKUP($G63,'Baumaterialien Matériaux'!$A:$A,'Baumaterialien Matériaux'!AG:AG,0,0)</f>
        <v>0</v>
      </c>
      <c r="Q63" s="1112">
        <f>$H63*_xlfn.XLOOKUP($G63,'Baumaterialien Matériaux'!$A:$A,'Baumaterialien Matériaux'!AH:AH,0,0)</f>
        <v>0</v>
      </c>
      <c r="R63" s="133"/>
      <c r="S63" s="133"/>
      <c r="T63" s="1099"/>
    </row>
    <row r="64" spans="1:21" s="540" customFormat="1" ht="16.5" customHeight="1" thickBot="1">
      <c r="A64" s="797"/>
      <c r="B64" s="626"/>
      <c r="C64" s="577"/>
      <c r="D64" s="580"/>
      <c r="E64" s="577"/>
      <c r="F64" s="577"/>
      <c r="G64" s="579"/>
      <c r="H64" s="577"/>
      <c r="I64" s="577"/>
      <c r="J64" s="870"/>
      <c r="K64" s="860">
        <f t="shared" ref="K64:L64" si="24">SUM(K61:K63)</f>
        <v>156.01214012738856</v>
      </c>
      <c r="L64" s="860">
        <f t="shared" si="24"/>
        <v>30.729372101910826</v>
      </c>
      <c r="M64" s="860">
        <f t="shared" ref="M64:O64" si="25">SUM(M61:M63)</f>
        <v>69.756057961783441</v>
      </c>
      <c r="N64" s="860">
        <f t="shared" si="25"/>
        <v>7.696346305732483</v>
      </c>
      <c r="O64" s="860">
        <f t="shared" si="25"/>
        <v>7.4620333333333342</v>
      </c>
      <c r="P64" s="860">
        <f t="shared" ref="P64:Q64" si="26">SUM(P61:P63)</f>
        <v>0</v>
      </c>
      <c r="Q64" s="860">
        <f t="shared" si="26"/>
        <v>0</v>
      </c>
      <c r="R64" s="133"/>
      <c r="S64" s="1190">
        <f>(M64+N64)/J63</f>
        <v>1.2908734044585988</v>
      </c>
      <c r="T64" s="668"/>
    </row>
    <row r="65" spans="1:21" ht="16.5" customHeight="1" thickTop="1">
      <c r="J65" s="868"/>
      <c r="K65" s="857"/>
      <c r="L65" s="857"/>
      <c r="M65" s="857"/>
      <c r="N65" s="857"/>
      <c r="O65" s="857"/>
      <c r="P65" s="857"/>
      <c r="Q65" s="857"/>
    </row>
    <row r="66" spans="1:21" s="134" customFormat="1" ht="17.25">
      <c r="A66" s="132" t="s">
        <v>825</v>
      </c>
      <c r="B66" s="132" t="str">
        <f>'Outil détaillé'!D40</f>
        <v>Balcons, avant-toits</v>
      </c>
      <c r="C66" s="132"/>
      <c r="D66" s="132"/>
      <c r="E66" s="132"/>
      <c r="F66" s="132"/>
      <c r="G66" s="504"/>
      <c r="H66" s="132" t="s">
        <v>635</v>
      </c>
      <c r="I66" s="132"/>
      <c r="J66" s="873"/>
      <c r="K66" s="805"/>
      <c r="L66" s="805"/>
      <c r="M66" s="805"/>
      <c r="N66" s="805"/>
      <c r="O66" s="805"/>
      <c r="P66" s="805"/>
      <c r="Q66" s="805"/>
      <c r="R66" s="133"/>
      <c r="S66" s="133"/>
    </row>
    <row r="67" spans="1:21" ht="15.75" customHeight="1">
      <c r="J67" s="868"/>
      <c r="K67" s="857"/>
      <c r="L67" s="857"/>
      <c r="M67" s="857"/>
      <c r="N67" s="857"/>
      <c r="O67" s="857"/>
      <c r="P67" s="857"/>
      <c r="Q67" s="857"/>
    </row>
    <row r="68" spans="1:21" s="582" customFormat="1" ht="15.75" customHeight="1">
      <c r="A68" s="1096" t="s">
        <v>449</v>
      </c>
      <c r="B68" s="1941" t="s">
        <v>826</v>
      </c>
      <c r="C68" s="267" t="s">
        <v>827</v>
      </c>
      <c r="D68" s="163" t="str">
        <f>VLOOKUP(G68,'Baumaterialien Matériaux'!$A$10:$AD$432,30,FALSE)</f>
        <v>Béton pour bâtiment (sans armature)</v>
      </c>
      <c r="E68" s="1409"/>
      <c r="F68" s="166" t="str">
        <f>_xlfn.XLOOKUP($G68,'Baumaterialien Matériaux'!$A:$A,'Baumaterialien Matériaux'!G:G,0,0)</f>
        <v>kg</v>
      </c>
      <c r="G68" s="617" t="s">
        <v>570</v>
      </c>
      <c r="H68" s="259">
        <f>0.326/1.6*2300</f>
        <v>468.62499999999994</v>
      </c>
      <c r="I68" s="163"/>
      <c r="J68" s="262">
        <v>40</v>
      </c>
      <c r="K68" s="855">
        <f>$H68*_xlfn.XLOOKUP($G68,'Baumaterialien Matériaux'!$A:$A,'Baumaterialien Matériaux'!V:V,0,0)</f>
        <v>57.640874999999994</v>
      </c>
      <c r="L68" s="855">
        <f>$H68*_xlfn.XLOOKUP($G68,'Baumaterialien Matériaux'!$A:$A,'Baumaterialien Matériaux'!Y:Y,0,0)</f>
        <v>24.040462499999997</v>
      </c>
      <c r="M68" s="855">
        <f>$H68*_xlfn.XLOOKUP($G68,'Baumaterialien Matériaux'!$A:$A,'Baumaterialien Matériaux'!AA:AA,0,0)</f>
        <v>41.567037499999998</v>
      </c>
      <c r="N68" s="855">
        <f>$H68*_xlfn.XLOOKUP($G68,'Baumaterialien Matériaux'!$A:$A,'Baumaterialien Matériaux'!AB:AB,0,0)</f>
        <v>5.9046749999999992</v>
      </c>
      <c r="O68" s="855">
        <f>$H68*_xlfn.XLOOKUP($G68,'Baumaterialien Matériaux'!$A:$A,'Baumaterialien Matériaux'!AC:AC,0,0)*44/12</f>
        <v>0</v>
      </c>
      <c r="P68" s="855">
        <f>$H68*_xlfn.XLOOKUP($G68,'Baumaterialien Matériaux'!$A:$A,'Baumaterialien Matériaux'!AG:AG,0,0)</f>
        <v>0</v>
      </c>
      <c r="Q68" s="1101">
        <f>$H68*_xlfn.XLOOKUP($G68,'Baumaterialien Matériaux'!$A:$A,'Baumaterialien Matériaux'!AH:AH,0,0)</f>
        <v>0</v>
      </c>
      <c r="R68" s="133"/>
      <c r="S68" s="133"/>
      <c r="T68" s="1098"/>
      <c r="U68" s="1096"/>
    </row>
    <row r="69" spans="1:21" s="159" customFormat="1" ht="15.75" customHeight="1">
      <c r="B69" s="1941"/>
      <c r="C69" s="267" t="s">
        <v>828</v>
      </c>
      <c r="D69" s="163" t="str">
        <f>VLOOKUP(G69,'Baumaterialien Matériaux'!$A$10:$AD$432,30,FALSE)</f>
        <v>Acier d'armature</v>
      </c>
      <c r="E69" s="1409"/>
      <c r="F69" s="166" t="str">
        <f>_xlfn.XLOOKUP($G69,'Baumaterialien Matériaux'!$A:$A,'Baumaterialien Matériaux'!G:G,0,0)</f>
        <v>kg</v>
      </c>
      <c r="G69" s="523" t="s">
        <v>572</v>
      </c>
      <c r="H69" s="259">
        <f>28.05/1.6</f>
        <v>17.53125</v>
      </c>
      <c r="I69" s="163"/>
      <c r="J69" s="262">
        <v>40</v>
      </c>
      <c r="K69" s="855">
        <f>$H69*_xlfn.XLOOKUP($G69,'Baumaterialien Matériaux'!$A:$A,'Baumaterialien Matériaux'!V:V,0,0)</f>
        <v>59.430937499999999</v>
      </c>
      <c r="L69" s="855">
        <f>$H69*_xlfn.XLOOKUP($G69,'Baumaterialien Matériaux'!$A:$A,'Baumaterialien Matériaux'!Y:Y,0,0)</f>
        <v>0.88532812500000002</v>
      </c>
      <c r="M69" s="855">
        <f>$H69*_xlfn.XLOOKUP($G69,'Baumaterialien Matériaux'!$A:$A,'Baumaterialien Matériaux'!AA:AA,0,0)</f>
        <v>13.551656250000001</v>
      </c>
      <c r="N69" s="855">
        <f>$H69*_xlfn.XLOOKUP($G69,'Baumaterialien Matériaux'!$A:$A,'Baumaterialien Matériaux'!AB:AB,0,0)</f>
        <v>0.21388125000000002</v>
      </c>
      <c r="O69" s="855">
        <f>$H69*_xlfn.XLOOKUP($G69,'Baumaterialien Matériaux'!$A:$A,'Baumaterialien Matériaux'!AC:AC,0,0)*44/12</f>
        <v>0</v>
      </c>
      <c r="P69" s="855">
        <f>$H69*_xlfn.XLOOKUP($G69,'Baumaterialien Matériaux'!$A:$A,'Baumaterialien Matériaux'!AG:AG,0,0)</f>
        <v>0</v>
      </c>
      <c r="Q69" s="1101">
        <f>$H69*_xlfn.XLOOKUP($G69,'Baumaterialien Matériaux'!$A:$A,'Baumaterialien Matériaux'!AH:AH,0,0)</f>
        <v>0</v>
      </c>
      <c r="R69" s="133"/>
      <c r="S69" s="133"/>
      <c r="T69" s="1098"/>
    </row>
    <row r="70" spans="1:21" s="159" customFormat="1" ht="15.75" customHeight="1">
      <c r="B70" s="1941"/>
      <c r="C70" s="267" t="s">
        <v>732</v>
      </c>
      <c r="D70" s="163" t="str">
        <f>VLOOKUP(G70,'Baumaterialien Matériaux'!$A$10:$AD$432,30,FALSE)</f>
        <v>Bois massif 3 et 5 plis</v>
      </c>
      <c r="E70" s="1409"/>
      <c r="F70" s="166" t="str">
        <f>_xlfn.XLOOKUP($G70,'Baumaterialien Matériaux'!$A:$A,'Baumaterialien Matériaux'!G:G,0,0)</f>
        <v>kg</v>
      </c>
      <c r="G70" s="281" t="s">
        <v>590</v>
      </c>
      <c r="H70" s="259">
        <f>2/5*0.025*470</f>
        <v>4.7000000000000011</v>
      </c>
      <c r="I70" s="163"/>
      <c r="J70" s="262">
        <v>40</v>
      </c>
      <c r="K70" s="855">
        <f>$H70*_xlfn.XLOOKUP($G70,'Baumaterialien Matériaux'!$A:$A,'Baumaterialien Matériaux'!V:V,0,0)</f>
        <v>9.8230000000000022</v>
      </c>
      <c r="L70" s="855">
        <f>$H70*_xlfn.XLOOKUP($G70,'Baumaterialien Matériaux'!$A:$A,'Baumaterialien Matériaux'!Y:Y,0,0)</f>
        <v>0.43381000000000008</v>
      </c>
      <c r="M70" s="855">
        <f>$H70*_xlfn.XLOOKUP($G70,'Baumaterialien Matériaux'!$A:$A,'Baumaterialien Matériaux'!AA:AA,0,0)</f>
        <v>1.9458000000000004</v>
      </c>
      <c r="N70" s="855">
        <f>$H70*_xlfn.XLOOKUP($G70,'Baumaterialien Matériaux'!$A:$A,'Baumaterialien Matériaux'!AB:AB,0,0)</f>
        <v>0.25991000000000009</v>
      </c>
      <c r="O70" s="855">
        <f>$H70*_xlfn.XLOOKUP($G70,'Baumaterialien Matériaux'!$A:$A,'Baumaterialien Matériaux'!AC:AC,0,0)*44/12</f>
        <v>7.4620333333333342</v>
      </c>
      <c r="P70" s="855">
        <f>$H70*_xlfn.XLOOKUP($G70,'Baumaterialien Matériaux'!$A:$A,'Baumaterialien Matériaux'!AG:AG,0,0)</f>
        <v>0</v>
      </c>
      <c r="Q70" s="1101">
        <f>$H70*_xlfn.XLOOKUP($G70,'Baumaterialien Matériaux'!$A:$A,'Baumaterialien Matériaux'!AH:AH,0,0)</f>
        <v>0</v>
      </c>
      <c r="R70" s="133"/>
      <c r="S70" s="133"/>
      <c r="T70" s="1098"/>
    </row>
    <row r="71" spans="1:21" s="159" customFormat="1" ht="15.75" customHeight="1">
      <c r="B71" s="1941"/>
      <c r="C71" s="267" t="s">
        <v>829</v>
      </c>
      <c r="D71" s="163" t="str">
        <f>VLOOKUP(G71,'Baumaterialien Matériaux'!$A$10:$AD$432,30,FALSE)</f>
        <v>Tôle d'acier nickel-chrome 18/8, nue</v>
      </c>
      <c r="E71" s="1409"/>
      <c r="F71" s="166" t="str">
        <f>_xlfn.XLOOKUP($G71,'Baumaterialien Matériaux'!$A:$A,'Baumaterialien Matériaux'!G:G,0,0)</f>
        <v>kg</v>
      </c>
      <c r="G71" s="523" t="s">
        <v>654</v>
      </c>
      <c r="H71" s="259">
        <f>7.52/1.6</f>
        <v>4.6999999999999993</v>
      </c>
      <c r="I71" s="163"/>
      <c r="J71" s="262">
        <v>40</v>
      </c>
      <c r="K71" s="855">
        <f>$H71*_xlfn.XLOOKUP($G71,'Baumaterialien Matériaux'!$A:$A,'Baumaterialien Matériaux'!V:V,0,0)</f>
        <v>68.149999999999991</v>
      </c>
      <c r="L71" s="855">
        <f>$H71*_xlfn.XLOOKUP($G71,'Baumaterialien Matériaux'!$A:$A,'Baumaterialien Matériaux'!Y:Y,0,0)</f>
        <v>0.12783999999999998</v>
      </c>
      <c r="M71" s="855">
        <f>$H71*_xlfn.XLOOKUP($G71,'Baumaterialien Matériaux'!$A:$A,'Baumaterialien Matériaux'!AA:AA,0,0)</f>
        <v>19.317</v>
      </c>
      <c r="N71" s="855">
        <f>$H71*_xlfn.XLOOKUP($G71,'Baumaterialien Matériaux'!$A:$A,'Baumaterialien Matériaux'!AB:AB,0,0)</f>
        <v>3.2570999999999996E-2</v>
      </c>
      <c r="O71" s="855">
        <f>$H71*_xlfn.XLOOKUP($G71,'Baumaterialien Matériaux'!$A:$A,'Baumaterialien Matériaux'!AC:AC,0,0)*44/12</f>
        <v>0</v>
      </c>
      <c r="P71" s="855">
        <f>$H71*_xlfn.XLOOKUP($G71,'Baumaterialien Matériaux'!$A:$A,'Baumaterialien Matériaux'!AG:AG,0,0)</f>
        <v>0</v>
      </c>
      <c r="Q71" s="1101">
        <f>$H71*_xlfn.XLOOKUP($G71,'Baumaterialien Matériaux'!$A:$A,'Baumaterialien Matériaux'!AH:AH,0,0)</f>
        <v>0</v>
      </c>
      <c r="R71" s="133"/>
      <c r="S71" s="133"/>
      <c r="T71" s="1098"/>
    </row>
    <row r="72" spans="1:21" s="159" customFormat="1" ht="15.75" customHeight="1">
      <c r="B72" s="1941"/>
      <c r="C72" s="267" t="s">
        <v>830</v>
      </c>
      <c r="D72" s="163" t="str">
        <f>VLOOKUP(G72,'Baumaterialien Matériaux'!$A$10:$AD$432,30,FALSE)</f>
        <v>Polystyrène extrudé (XPS)</v>
      </c>
      <c r="E72" s="1409"/>
      <c r="F72" s="166" t="str">
        <f>_xlfn.XLOOKUP($G72,'Baumaterialien Matériaux'!$A:$A,'Baumaterialien Matériaux'!G:G,0,0)</f>
        <v>kg</v>
      </c>
      <c r="G72" s="523" t="s">
        <v>581</v>
      </c>
      <c r="H72" s="259">
        <f>0.48/1.6</f>
        <v>0.3</v>
      </c>
      <c r="I72" s="163"/>
      <c r="J72" s="262">
        <v>40</v>
      </c>
      <c r="K72" s="855">
        <f>$H72*_xlfn.XLOOKUP($G72,'Baumaterialien Matériaux'!$A:$A,'Baumaterialien Matériaux'!V:V,0,0)</f>
        <v>8.76</v>
      </c>
      <c r="L72" s="855">
        <f>$H72*_xlfn.XLOOKUP($G72,'Baumaterialien Matériaux'!$A:$A,'Baumaterialien Matériaux'!Y:Y,0,0)</f>
        <v>6.0600000000000001E-2</v>
      </c>
      <c r="M72" s="855">
        <f>$H72*_xlfn.XLOOKUP($G72,'Baumaterialien Matériaux'!$A:$A,'Baumaterialien Matériaux'!AA:AA,0,0)</f>
        <v>3.39</v>
      </c>
      <c r="N72" s="855">
        <f>$H72*_xlfn.XLOOKUP($G72,'Baumaterialien Matériaux'!$A:$A,'Baumaterialien Matériaux'!AB:AB,0,0)</f>
        <v>0.92699999999999994</v>
      </c>
      <c r="O72" s="855">
        <f>$H72*_xlfn.XLOOKUP($G72,'Baumaterialien Matériaux'!$A:$A,'Baumaterialien Matériaux'!AC:AC,0,0)*44/12</f>
        <v>0</v>
      </c>
      <c r="P72" s="855">
        <f>$H72*_xlfn.XLOOKUP($G72,'Baumaterialien Matériaux'!$A:$A,'Baumaterialien Matériaux'!AG:AG,0,0)</f>
        <v>0</v>
      </c>
      <c r="Q72" s="1101">
        <f>$H72*_xlfn.XLOOKUP($G72,'Baumaterialien Matériaux'!$A:$A,'Baumaterialien Matériaux'!AH:AH,0,0)</f>
        <v>0</v>
      </c>
      <c r="R72" s="133"/>
      <c r="S72" s="133"/>
      <c r="T72" s="1098"/>
    </row>
    <row r="73" spans="1:21" s="159" customFormat="1" ht="15.75" customHeight="1">
      <c r="B73" s="1941"/>
      <c r="C73" s="267" t="s">
        <v>831</v>
      </c>
      <c r="D73" s="163" t="str">
        <f>VLOOKUP(G73,'Baumaterialien Matériaux'!$A$10:$AD$432,30,FALSE)</f>
        <v>Béton dur, 1 couche, 27,5 mm</v>
      </c>
      <c r="E73" s="1409"/>
      <c r="F73" s="166" t="str">
        <f>_xlfn.XLOOKUP($G73,'Baumaterialien Matériaux'!$A:$A,'Baumaterialien Matériaux'!G:G,0,0)</f>
        <v>m2</v>
      </c>
      <c r="G73" s="524" t="s">
        <v>832</v>
      </c>
      <c r="H73" s="259">
        <f>0.032/1.6*2100/57.8</f>
        <v>0.72664359861591699</v>
      </c>
      <c r="I73" s="163"/>
      <c r="J73" s="262">
        <v>40</v>
      </c>
      <c r="K73" s="855">
        <f>$H73*_xlfn.XLOOKUP($G73,'Baumaterialien Matériaux'!$A:$A,'Baumaterialien Matériaux'!V:V,0,0)</f>
        <v>31.60899653979239</v>
      </c>
      <c r="L73" s="855">
        <f>$H73*_xlfn.XLOOKUP($G73,'Baumaterialien Matériaux'!$A:$A,'Baumaterialien Matériaux'!Y:Y,0,0)</f>
        <v>2.2089965397923876</v>
      </c>
      <c r="M73" s="855">
        <f>$H73*_xlfn.XLOOKUP($G73,'Baumaterialien Matériaux'!$A:$A,'Baumaterialien Matériaux'!AA:AA,0,0)</f>
        <v>11.408304498269896</v>
      </c>
      <c r="N73" s="855">
        <f>$H73*_xlfn.XLOOKUP($G73,'Baumaterialien Matériaux'!$A:$A,'Baumaterialien Matériaux'!AB:AB,0,0)</f>
        <v>0.53262975778546717</v>
      </c>
      <c r="O73" s="855">
        <f>$H73*_xlfn.XLOOKUP($G73,'Baumaterialien Matériaux'!$A:$A,'Baumaterialien Matériaux'!AC:AC,0,0)*44/12</f>
        <v>0</v>
      </c>
      <c r="P73" s="855">
        <f>$H73*_xlfn.XLOOKUP($G73,'Baumaterialien Matériaux'!$A:$A,'Baumaterialien Matériaux'!AG:AG,0,0)</f>
        <v>0</v>
      </c>
      <c r="Q73" s="1101">
        <f>$H73*_xlfn.XLOOKUP($G73,'Baumaterialien Matériaux'!$A:$A,'Baumaterialien Matériaux'!AH:AH,0,0)</f>
        <v>0</v>
      </c>
      <c r="R73" s="133"/>
      <c r="S73" s="133"/>
      <c r="T73" s="1098"/>
    </row>
    <row r="74" spans="1:21" s="159" customFormat="1" ht="15.75" customHeight="1">
      <c r="B74" s="1941"/>
      <c r="C74" s="267" t="s">
        <v>833</v>
      </c>
      <c r="D74" s="163" t="str">
        <f>VLOOKUP(G74,'Baumaterialien Matériaux'!$A$10:$AD$432,30,FALSE)</f>
        <v>Tôle d'acier, zinguée</v>
      </c>
      <c r="E74" s="1409"/>
      <c r="F74" s="166" t="str">
        <f>_xlfn.XLOOKUP($G74,'Baumaterialien Matériaux'!$A:$A,'Baumaterialien Matériaux'!G:G,0,0)</f>
        <v>kg</v>
      </c>
      <c r="G74" s="523" t="s">
        <v>657</v>
      </c>
      <c r="H74" s="259">
        <f>20.82/1.6</f>
        <v>13.012499999999999</v>
      </c>
      <c r="I74" s="163"/>
      <c r="J74" s="262">
        <v>40</v>
      </c>
      <c r="K74" s="855">
        <f>$H74*_xlfn.XLOOKUP($G74,'Baumaterialien Matériaux'!$A:$A,'Baumaterialien Matériaux'!V:V,0,0)</f>
        <v>202.99499999999998</v>
      </c>
      <c r="L74" s="855">
        <f>$H74*_xlfn.XLOOKUP($G74,'Baumaterialien Matériaux'!$A:$A,'Baumaterialien Matériaux'!Y:Y,0,0)</f>
        <v>0.35393999999999998</v>
      </c>
      <c r="M74" s="855">
        <f>$H74*_xlfn.XLOOKUP($G74,'Baumaterialien Matériaux'!$A:$A,'Baumaterialien Matériaux'!AA:AA,0,0)</f>
        <v>58.295999999999999</v>
      </c>
      <c r="N74" s="855">
        <f>$H74*_xlfn.XLOOKUP($G74,'Baumaterialien Matériaux'!$A:$A,'Baumaterialien Matériaux'!AB:AB,0,0)</f>
        <v>9.0176624999999996E-2</v>
      </c>
      <c r="O74" s="855">
        <f>$H74*_xlfn.XLOOKUP($G74,'Baumaterialien Matériaux'!$A:$A,'Baumaterialien Matériaux'!AC:AC,0,0)*44/12</f>
        <v>0</v>
      </c>
      <c r="P74" s="855">
        <f>$H74*_xlfn.XLOOKUP($G74,'Baumaterialien Matériaux'!$A:$A,'Baumaterialien Matériaux'!AG:AG,0,0)</f>
        <v>0</v>
      </c>
      <c r="Q74" s="1101">
        <f>$H74*_xlfn.XLOOKUP($G74,'Baumaterialien Matériaux'!$A:$A,'Baumaterialien Matériaux'!AH:AH,0,0)</f>
        <v>0</v>
      </c>
      <c r="R74" s="133"/>
      <c r="S74" s="133"/>
      <c r="T74" s="1098"/>
    </row>
    <row r="75" spans="1:21" s="590" customFormat="1" ht="16.5" customHeight="1" thickBot="1">
      <c r="B75" s="620"/>
      <c r="G75" s="599"/>
      <c r="J75" s="867">
        <v>40</v>
      </c>
      <c r="K75" s="856">
        <f t="shared" ref="K75:L75" si="27">SUM(K68:K74)</f>
        <v>438.40880903979235</v>
      </c>
      <c r="L75" s="856">
        <f t="shared" si="27"/>
        <v>28.110977164792388</v>
      </c>
      <c r="M75" s="856">
        <f t="shared" ref="M75:O75" si="28">SUM(M68:M74)</f>
        <v>149.47579824826991</v>
      </c>
      <c r="N75" s="856">
        <f t="shared" si="28"/>
        <v>7.9608436327854655</v>
      </c>
      <c r="O75" s="856">
        <f t="shared" si="28"/>
        <v>7.4620333333333342</v>
      </c>
      <c r="P75" s="856">
        <f t="shared" ref="P75:Q75" si="29">SUM(P68:P74)</f>
        <v>0</v>
      </c>
      <c r="Q75" s="856">
        <f t="shared" si="29"/>
        <v>0</v>
      </c>
      <c r="R75" s="133"/>
      <c r="S75" s="1190">
        <f>(M75+N75)/J74</f>
        <v>3.9359160470263843</v>
      </c>
      <c r="T75" s="668">
        <v>3.52</v>
      </c>
    </row>
    <row r="76" spans="1:21" s="159" customFormat="1" ht="16.5" customHeight="1" thickTop="1">
      <c r="G76" s="604"/>
      <c r="J76" s="260"/>
      <c r="K76" s="1070"/>
      <c r="L76" s="1070"/>
      <c r="M76" s="1070"/>
      <c r="N76" s="1070"/>
      <c r="O76" s="1070"/>
      <c r="P76" s="1070"/>
      <c r="Q76" s="1070"/>
      <c r="R76" s="133"/>
      <c r="S76" s="1190"/>
      <c r="T76" s="668"/>
    </row>
    <row r="77" spans="1:21" s="1166" customFormat="1" ht="15.75" outlineLevel="1">
      <c r="A77" s="1166" t="s">
        <v>3649</v>
      </c>
      <c r="C77" s="1095" t="s">
        <v>3647</v>
      </c>
      <c r="D77" s="163" t="s">
        <v>1791</v>
      </c>
      <c r="E77" s="1522"/>
      <c r="F77" s="1203" t="s">
        <v>268</v>
      </c>
      <c r="G77" s="1205" t="s">
        <v>651</v>
      </c>
      <c r="H77" s="262">
        <v>27.745000000000001</v>
      </c>
      <c r="I77" s="261"/>
      <c r="J77" s="261">
        <v>40</v>
      </c>
      <c r="K77" s="855">
        <f>$H77*_xlfn.XLOOKUP($G77,'Baumaterialien Matériaux'!$A:$A,'Baumaterialien Matériaux'!V:V,0,0)</f>
        <v>19.088559999999998</v>
      </c>
      <c r="L77" s="855">
        <f>$H77*_xlfn.XLOOKUP($G77,'Baumaterialien Matériaux'!$A:$A,'Baumaterialien Matériaux'!Y:Y,0,0)</f>
        <v>2.4637560000000001</v>
      </c>
      <c r="M77" s="855">
        <f>$H77*_xlfn.XLOOKUP($G77,'Baumaterialien Matériaux'!$A:$A,'Baumaterialien Matériaux'!AA:AA,0,0)</f>
        <v>3.7178300000000002</v>
      </c>
      <c r="N77" s="855">
        <f>$H77*_xlfn.XLOOKUP($G77,'Baumaterialien Matériaux'!$A:$A,'Baumaterialien Matériaux'!AB:AB,0,0)</f>
        <v>1.082055</v>
      </c>
      <c r="O77" s="855">
        <f>$H77*_xlfn.XLOOKUP($G77,'Baumaterialien Matériaux'!$A:$A,'Baumaterialien Matériaux'!AC:AC,0,0)*44/12</f>
        <v>45.880981666666663</v>
      </c>
      <c r="P77" s="855">
        <f>$H77*_xlfn.XLOOKUP($G77,'Baumaterialien Matériaux'!$A:$A,'Baumaterialien Matériaux'!AG:AG,0,0)</f>
        <v>0</v>
      </c>
      <c r="Q77" s="1101">
        <f>$H77*_xlfn.XLOOKUP($G77,'Baumaterialien Matériaux'!$A:$A,'Baumaterialien Matériaux'!AH:AH,0,0)</f>
        <v>0</v>
      </c>
      <c r="R77" s="1108"/>
      <c r="S77" s="1108"/>
      <c r="T77" s="1206"/>
      <c r="U77" s="1207"/>
    </row>
    <row r="78" spans="1:21" s="258" customFormat="1" ht="15.75" outlineLevel="1">
      <c r="C78" s="3" t="s">
        <v>3648</v>
      </c>
      <c r="D78" s="163" t="s">
        <v>1810</v>
      </c>
      <c r="E78" s="1522"/>
      <c r="F78" s="1203" t="s">
        <v>268</v>
      </c>
      <c r="G78" s="1204" t="s">
        <v>619</v>
      </c>
      <c r="H78" s="262">
        <v>21.3</v>
      </c>
      <c r="I78" s="834"/>
      <c r="J78" s="261">
        <v>40</v>
      </c>
      <c r="K78" s="855">
        <f>$H78*_xlfn.XLOOKUP($G78,'Baumaterialien Matériaux'!$A:$A,'Baumaterialien Matériaux'!V:V,0,0)</f>
        <v>8.9672999999999998</v>
      </c>
      <c r="L78" s="855">
        <f>$H78*_xlfn.XLOOKUP($G78,'Baumaterialien Matériaux'!$A:$A,'Baumaterialien Matériaux'!Y:Y,0,0)</f>
        <v>1.8914400000000002</v>
      </c>
      <c r="M78" s="855">
        <f>$H78*_xlfn.XLOOKUP($G78,'Baumaterialien Matériaux'!$A:$A,'Baumaterialien Matériaux'!AA:AA,0,0)</f>
        <v>1.9255199999999999</v>
      </c>
      <c r="N78" s="855">
        <f>$H78*_xlfn.XLOOKUP($G78,'Baumaterialien Matériaux'!$A:$A,'Baumaterialien Matériaux'!AB:AB,0,0)</f>
        <v>0.83069999999999999</v>
      </c>
      <c r="O78" s="855">
        <f>$H78*_xlfn.XLOOKUP($G78,'Baumaterialien Matériaux'!$A:$A,'Baumaterialien Matériaux'!AC:AC,0,0)*44/12</f>
        <v>32.255299999999998</v>
      </c>
      <c r="P78" s="855">
        <f>$H78*_xlfn.XLOOKUP($G78,'Baumaterialien Matériaux'!$A:$A,'Baumaterialien Matériaux'!AG:AG,0,0)</f>
        <v>0</v>
      </c>
      <c r="Q78" s="1101">
        <f>$H78*_xlfn.XLOOKUP($G78,'Baumaterialien Matériaux'!$A:$A,'Baumaterialien Matériaux'!AH:AH,0,0)</f>
        <v>0</v>
      </c>
      <c r="R78" s="133"/>
      <c r="S78" s="133"/>
      <c r="T78" s="1098"/>
      <c r="U78" s="280"/>
    </row>
    <row r="79" spans="1:21" s="159" customFormat="1" ht="15.75" customHeight="1">
      <c r="B79" s="1077"/>
      <c r="C79" s="267" t="s">
        <v>830</v>
      </c>
      <c r="D79" s="163" t="str">
        <f>VLOOKUP(G79,'Baumaterialien Matériaux'!$A$10:$AD$432,30,FALSE)</f>
        <v>Polystyrène extrudé (XPS)</v>
      </c>
      <c r="E79" s="1409"/>
      <c r="F79" s="166" t="str">
        <f>_xlfn.XLOOKUP($G79,'Baumaterialien Matériaux'!$A:$A,'Baumaterialien Matériaux'!G:G,0,0)</f>
        <v>kg</v>
      </c>
      <c r="G79" s="523" t="s">
        <v>581</v>
      </c>
      <c r="H79" s="259">
        <f>0.48/1.6</f>
        <v>0.3</v>
      </c>
      <c r="I79" s="163"/>
      <c r="J79" s="262">
        <v>40</v>
      </c>
      <c r="K79" s="855">
        <f>$H79*_xlfn.XLOOKUP($G79,'Baumaterialien Matériaux'!$A:$A,'Baumaterialien Matériaux'!V:V,0,0)</f>
        <v>8.76</v>
      </c>
      <c r="L79" s="855">
        <f>$H79*_xlfn.XLOOKUP($G79,'Baumaterialien Matériaux'!$A:$A,'Baumaterialien Matériaux'!Y:Y,0,0)</f>
        <v>6.0600000000000001E-2</v>
      </c>
      <c r="M79" s="855">
        <f>$H79*_xlfn.XLOOKUP($G79,'Baumaterialien Matériaux'!$A:$A,'Baumaterialien Matériaux'!AA:AA,0,0)</f>
        <v>3.39</v>
      </c>
      <c r="N79" s="855">
        <f>$H79*_xlfn.XLOOKUP($G79,'Baumaterialien Matériaux'!$A:$A,'Baumaterialien Matériaux'!AB:AB,0,0)</f>
        <v>0.92699999999999994</v>
      </c>
      <c r="O79" s="855">
        <f>$H79*_xlfn.XLOOKUP($G79,'Baumaterialien Matériaux'!$A:$A,'Baumaterialien Matériaux'!AC:AC,0,0)*44/12</f>
        <v>0</v>
      </c>
      <c r="P79" s="855">
        <f>$H79*_xlfn.XLOOKUP($G79,'Baumaterialien Matériaux'!$A:$A,'Baumaterialien Matériaux'!AG:AG,0,0)</f>
        <v>0</v>
      </c>
      <c r="Q79" s="1101">
        <f>$H79*_xlfn.XLOOKUP($G79,'Baumaterialien Matériaux'!$A:$A,'Baumaterialien Matériaux'!AH:AH,0,0)</f>
        <v>0</v>
      </c>
      <c r="R79" s="133"/>
      <c r="S79" s="133"/>
      <c r="T79" s="1098"/>
    </row>
    <row r="80" spans="1:21" s="590" customFormat="1" ht="16.5" customHeight="1" thickBot="1">
      <c r="B80" s="620"/>
      <c r="G80" s="599"/>
      <c r="J80" s="867">
        <v>40</v>
      </c>
      <c r="K80" s="856">
        <f t="shared" ref="K80:L80" si="30">SUM(K77:K79)</f>
        <v>36.815859999999994</v>
      </c>
      <c r="L80" s="856">
        <f t="shared" si="30"/>
        <v>4.4157960000000003</v>
      </c>
      <c r="M80" s="856">
        <f>SUM(M77:M79)</f>
        <v>9.0333500000000004</v>
      </c>
      <c r="N80" s="856">
        <f>SUM(N77:N79)</f>
        <v>2.8397549999999998</v>
      </c>
      <c r="O80" s="856">
        <f>SUM(O77:O79)</f>
        <v>78.136281666666662</v>
      </c>
      <c r="P80" s="856">
        <f>SUM(P77:P79)</f>
        <v>0</v>
      </c>
      <c r="Q80" s="856">
        <f>SUM(Q77:Q79)</f>
        <v>0</v>
      </c>
      <c r="R80" s="1109"/>
      <c r="S80" s="1197">
        <f>(M80+N80)/J79</f>
        <v>0.29682762500000004</v>
      </c>
      <c r="T80" s="1201">
        <v>3.52</v>
      </c>
    </row>
    <row r="81" spans="1:21" s="159" customFormat="1" ht="16.5" customHeight="1" thickTop="1">
      <c r="G81" s="604"/>
      <c r="J81" s="260"/>
      <c r="K81" s="1070"/>
      <c r="L81" s="1070"/>
      <c r="M81" s="1070"/>
      <c r="N81" s="1070"/>
      <c r="O81" s="1070"/>
      <c r="P81" s="1070"/>
      <c r="Q81" s="1070"/>
      <c r="R81" s="133"/>
      <c r="S81" s="1190"/>
      <c r="T81" s="668"/>
    </row>
    <row r="82" spans="1:21" s="134" customFormat="1" ht="15.75" customHeight="1">
      <c r="A82" s="132" t="s">
        <v>451</v>
      </c>
      <c r="B82" s="132" t="str">
        <f>'Outil détaillé'!D42</f>
        <v>Portes</v>
      </c>
      <c r="C82" s="132"/>
      <c r="D82" s="132"/>
      <c r="E82" s="132"/>
      <c r="F82" s="132"/>
      <c r="G82" s="504"/>
      <c r="H82" s="132"/>
      <c r="I82" s="132"/>
      <c r="J82" s="873"/>
      <c r="K82" s="805"/>
      <c r="L82" s="805"/>
      <c r="M82" s="805"/>
      <c r="N82" s="805"/>
      <c r="O82" s="805"/>
      <c r="P82" s="805"/>
      <c r="Q82" s="805"/>
      <c r="R82" s="133"/>
      <c r="S82" s="133"/>
    </row>
    <row r="83" spans="1:21" s="624" customFormat="1" ht="16.5" customHeight="1" thickBot="1">
      <c r="A83" s="624" t="s">
        <v>834</v>
      </c>
      <c r="C83" s="624" t="s">
        <v>835</v>
      </c>
      <c r="D83" s="624" t="str">
        <f>VLOOKUP(G83,'Baumaterialien Matériaux'!$A$10:$AD$432,30,FALSE)</f>
        <v>Porte intérieure, porte fonctionnelle, bois, cadre en bois</v>
      </c>
      <c r="E83" s="1056"/>
      <c r="F83" s="166" t="str">
        <f>_xlfn.XLOOKUP($G83,'Baumaterialien Matériaux'!$A:$A,'Baumaterialien Matériaux'!G:G,0,0)</f>
        <v>m2</v>
      </c>
      <c r="G83" s="627" t="s">
        <v>836</v>
      </c>
      <c r="H83" s="624">
        <v>1</v>
      </c>
      <c r="J83" s="874">
        <v>30</v>
      </c>
      <c r="K83" s="863">
        <f>$H83*_xlfn.XLOOKUP($G83,'Baumaterialien Matériaux'!$A:$A,'Baumaterialien Matériaux'!V:V,0,0)</f>
        <v>185</v>
      </c>
      <c r="L83" s="863">
        <f>$H83*_xlfn.XLOOKUP($G83,'Baumaterialien Matériaux'!$A:$A,'Baumaterialien Matériaux'!Y:Y,0,0)</f>
        <v>4.87</v>
      </c>
      <c r="M83" s="863">
        <f>$H83*_xlfn.XLOOKUP($G83,'Baumaterialien Matériaux'!$A:$A,'Baumaterialien Matériaux'!AA:AA,0,0)</f>
        <v>37.4</v>
      </c>
      <c r="N83" s="863">
        <f>$H83*_xlfn.XLOOKUP($G83,'Baumaterialien Matériaux'!$A:$A,'Baumaterialien Matériaux'!AB:AB,0,0)</f>
        <v>6.86</v>
      </c>
      <c r="O83" s="863">
        <f>$H83*_xlfn.XLOOKUP($G83,'Baumaterialien Matériaux'!$A:$A,'Baumaterialien Matériaux'!AC:AC,0,0)*44/12</f>
        <v>63.433333333333337</v>
      </c>
      <c r="P83" s="863">
        <f>$H83*_xlfn.XLOOKUP($G83,'Baumaterialien Matériaux'!$A:$A,'Baumaterialien Matériaux'!AG:AG,0,0)</f>
        <v>0</v>
      </c>
      <c r="Q83" s="863">
        <f>$H83*_xlfn.XLOOKUP($G83,'Baumaterialien Matériaux'!$A:$A,'Baumaterialien Matériaux'!AH:AH,0,0)</f>
        <v>0</v>
      </c>
      <c r="R83" s="133"/>
      <c r="S83" s="133"/>
      <c r="T83" s="134"/>
    </row>
    <row r="84" spans="1:21" ht="16.5" customHeight="1" thickTop="1">
      <c r="J84" s="868"/>
      <c r="K84" s="857"/>
      <c r="L84" s="857"/>
      <c r="M84" s="857"/>
      <c r="N84" s="857"/>
      <c r="O84" s="857"/>
      <c r="P84" s="857"/>
      <c r="Q84" s="857"/>
    </row>
    <row r="85" spans="1:21" ht="15.75" customHeight="1">
      <c r="J85" s="868"/>
      <c r="K85" s="857"/>
      <c r="L85" s="857"/>
      <c r="M85" s="857"/>
      <c r="N85" s="857"/>
      <c r="O85" s="857"/>
      <c r="P85" s="857"/>
      <c r="Q85" s="857"/>
    </row>
    <row r="86" spans="1:21" ht="15.75" customHeight="1">
      <c r="J86" s="868"/>
      <c r="K86" s="857"/>
      <c r="L86" s="857"/>
      <c r="M86" s="857"/>
      <c r="N86" s="857"/>
      <c r="O86" s="857"/>
      <c r="P86" s="857"/>
      <c r="Q86" s="857"/>
    </row>
    <row r="87" spans="1:21" s="134" customFormat="1" ht="17.25">
      <c r="A87" s="132" t="s">
        <v>837</v>
      </c>
      <c r="B87" s="132" t="str">
        <f>'Outil détaillé'!D44</f>
        <v>Revetements de sols</v>
      </c>
      <c r="C87" s="132"/>
      <c r="D87" s="132"/>
      <c r="E87" s="132"/>
      <c r="F87" s="132"/>
      <c r="G87" s="504"/>
      <c r="H87" s="133" t="s">
        <v>635</v>
      </c>
      <c r="I87" s="132"/>
      <c r="J87" s="869"/>
      <c r="K87" s="858"/>
      <c r="L87" s="858"/>
      <c r="M87" s="858"/>
      <c r="N87" s="858"/>
      <c r="O87" s="858"/>
      <c r="P87" s="858"/>
      <c r="Q87" s="858"/>
      <c r="R87" s="133"/>
      <c r="S87" s="133"/>
    </row>
    <row r="88" spans="1:21" ht="15.75" customHeight="1">
      <c r="J88" s="868"/>
      <c r="K88" s="857"/>
      <c r="L88" s="857"/>
      <c r="M88" s="857"/>
      <c r="N88" s="857"/>
      <c r="O88" s="857"/>
      <c r="P88" s="857"/>
      <c r="Q88" s="857"/>
    </row>
    <row r="89" spans="1:21" s="149" customFormat="1" ht="15.75" customHeight="1">
      <c r="A89" s="1096" t="s">
        <v>838</v>
      </c>
      <c r="B89" s="1935" t="s">
        <v>839</v>
      </c>
      <c r="C89" s="137" t="s">
        <v>840</v>
      </c>
      <c r="D89" s="166" t="str">
        <f>VLOOKUP(G89,'Baumaterialien Matériaux'!$A$10:$AD$432,30,FALSE)</f>
        <v>Linoléum, 2,5 mm</v>
      </c>
      <c r="E89" s="1403"/>
      <c r="F89" s="166" t="str">
        <f>_xlfn.XLOOKUP($G89,'Baumaterialien Matériaux'!$A:$A,'Baumaterialien Matériaux'!G:G,0,0)</f>
        <v>m2</v>
      </c>
      <c r="G89" s="510" t="s">
        <v>841</v>
      </c>
      <c r="H89" s="167">
        <v>1</v>
      </c>
      <c r="I89" s="166"/>
      <c r="J89" s="514">
        <v>30</v>
      </c>
      <c r="K89" s="852">
        <f>$H89*_xlfn.XLOOKUP($G89,'Baumaterialien Matériaux'!$A:$A,'Baumaterialien Matériaux'!V:V,0,0)</f>
        <v>25.9</v>
      </c>
      <c r="L89" s="852">
        <f>$H89*_xlfn.XLOOKUP($G89,'Baumaterialien Matériaux'!$A:$A,'Baumaterialien Matériaux'!Y:Y,0,0)</f>
        <v>0.437</v>
      </c>
      <c r="M89" s="852">
        <f>$H89*_xlfn.XLOOKUP($G89,'Baumaterialien Matériaux'!$A:$A,'Baumaterialien Matériaux'!AA:AA,0,0)</f>
        <v>5.84</v>
      </c>
      <c r="N89" s="852">
        <f>$H89*_xlfn.XLOOKUP($G89,'Baumaterialien Matériaux'!$A:$A,'Baumaterialien Matériaux'!AB:AB,0,0)</f>
        <v>0.51600000000000001</v>
      </c>
      <c r="O89" s="852">
        <f>$H89*_xlfn.XLOOKUP($G89,'Baumaterialien Matériaux'!$A:$A,'Baumaterialien Matériaux'!AC:AC,0,0)*44/12</f>
        <v>2.8820000000000001</v>
      </c>
      <c r="P89" s="852">
        <f>$H89*_xlfn.XLOOKUP($G89,'Baumaterialien Matériaux'!$A:$A,'Baumaterialien Matériaux'!AG:AG,0,0)</f>
        <v>0</v>
      </c>
      <c r="Q89" s="1111">
        <f>$H89*_xlfn.XLOOKUP($G89,'Baumaterialien Matériaux'!$A:$A,'Baumaterialien Matériaux'!AH:AH,0,0)</f>
        <v>0</v>
      </c>
      <c r="R89" s="133"/>
      <c r="S89" s="133"/>
      <c r="T89" s="1098"/>
      <c r="U89" s="1095"/>
    </row>
    <row r="90" spans="1:21" ht="15.75" customHeight="1">
      <c r="A90" s="159"/>
      <c r="B90" s="1935"/>
      <c r="C90" s="137" t="s">
        <v>842</v>
      </c>
      <c r="D90" s="166" t="str">
        <f>VLOOKUP(G90,'Baumaterialien Matériaux'!$A$10:$AD$432,30,FALSE)</f>
        <v>Colle bicomposant</v>
      </c>
      <c r="E90" s="1403"/>
      <c r="F90" s="166" t="str">
        <f>_xlfn.XLOOKUP($G90,'Baumaterialien Matériaux'!$A:$A,'Baumaterialien Matériaux'!G:G,0,0)</f>
        <v>kg</v>
      </c>
      <c r="G90" s="522" t="s">
        <v>740</v>
      </c>
      <c r="H90" s="167">
        <v>0.4</v>
      </c>
      <c r="I90" s="166"/>
      <c r="J90" s="514">
        <v>30</v>
      </c>
      <c r="K90" s="852">
        <f>$H90*_xlfn.XLOOKUP($G90,'Baumaterialien Matériaux'!$A:$A,'Baumaterialien Matériaux'!V:V,0,0)</f>
        <v>9.68</v>
      </c>
      <c r="L90" s="852">
        <f>$H90*_xlfn.XLOOKUP($G90,'Baumaterialien Matériaux'!$A:$A,'Baumaterialien Matériaux'!Y:Y,0,0)</f>
        <v>2.2320000000000003E-2</v>
      </c>
      <c r="M90" s="852">
        <f>$H90*_xlfn.XLOOKUP($G90,'Baumaterialien Matériaux'!$A:$A,'Baumaterialien Matériaux'!AA:AA,0,0)</f>
        <v>1.8600000000000003</v>
      </c>
      <c r="N90" s="852">
        <f>$H90*_xlfn.XLOOKUP($G90,'Baumaterialien Matériaux'!$A:$A,'Baumaterialien Matériaux'!AB:AB,0,0)</f>
        <v>7.4800000000000005E-2</v>
      </c>
      <c r="O90" s="852">
        <f>$H90*_xlfn.XLOOKUP($G90,'Baumaterialien Matériaux'!$A:$A,'Baumaterialien Matériaux'!AC:AC,0,0)*44/12</f>
        <v>0</v>
      </c>
      <c r="P90" s="852">
        <f>$H90*_xlfn.XLOOKUP($G90,'Baumaterialien Matériaux'!$A:$A,'Baumaterialien Matériaux'!AG:AG,0,0)</f>
        <v>0</v>
      </c>
      <c r="Q90" s="1111">
        <f>$H90*_xlfn.XLOOKUP($G90,'Baumaterialien Matériaux'!$A:$A,'Baumaterialien Matériaux'!AH:AH,0,0)</f>
        <v>0</v>
      </c>
      <c r="T90" s="1098"/>
    </row>
    <row r="91" spans="1:21" s="572" customFormat="1" ht="16.5" customHeight="1" thickBot="1">
      <c r="A91" s="590"/>
      <c r="B91" s="619"/>
      <c r="G91" s="614"/>
      <c r="J91" s="871">
        <v>30</v>
      </c>
      <c r="K91" s="861">
        <f t="shared" ref="K91:L91" si="31">SUM(K89:K90)</f>
        <v>35.58</v>
      </c>
      <c r="L91" s="861">
        <f t="shared" si="31"/>
        <v>0.45932000000000001</v>
      </c>
      <c r="M91" s="861">
        <f t="shared" ref="M91:O91" si="32">SUM(M89:M90)</f>
        <v>7.7</v>
      </c>
      <c r="N91" s="861">
        <f t="shared" si="32"/>
        <v>0.59079999999999999</v>
      </c>
      <c r="O91" s="861">
        <f t="shared" si="32"/>
        <v>2.8820000000000001</v>
      </c>
      <c r="P91" s="861">
        <f t="shared" ref="P91:Q91" si="33">SUM(P89:P90)</f>
        <v>0</v>
      </c>
      <c r="Q91" s="861">
        <f t="shared" si="33"/>
        <v>0</v>
      </c>
      <c r="R91" s="1109"/>
      <c r="S91" s="1197">
        <f>(M91+N91)/J90</f>
        <v>0.27636000000000005</v>
      </c>
      <c r="T91" s="1201"/>
    </row>
    <row r="92" spans="1:21" ht="16.5" customHeight="1" thickTop="1">
      <c r="G92" s="511"/>
      <c r="J92" s="868"/>
      <c r="K92" s="857"/>
      <c r="L92" s="857"/>
      <c r="M92" s="857"/>
      <c r="N92" s="857"/>
      <c r="O92" s="857"/>
      <c r="P92" s="857"/>
      <c r="Q92" s="857"/>
    </row>
    <row r="93" spans="1:21" s="149" customFormat="1" ht="15.75" customHeight="1">
      <c r="A93" s="1095" t="s">
        <v>843</v>
      </c>
      <c r="B93" s="1935" t="s">
        <v>844</v>
      </c>
      <c r="C93" s="621" t="s">
        <v>845</v>
      </c>
      <c r="D93" s="166" t="str">
        <f>VLOOKUP(G93,'Baumaterialien Matériaux'!$A$10:$AD$432,30,FALSE)</f>
        <v>Parquet, 2 plis, vitrifié d'usine, 11 mm</v>
      </c>
      <c r="E93" s="1403"/>
      <c r="F93" s="166" t="str">
        <f>_xlfn.XLOOKUP($G93,'Baumaterialien Matériaux'!$A:$A,'Baumaterialien Matériaux'!G:G,0,0)</f>
        <v>m2</v>
      </c>
      <c r="G93" s="509" t="s">
        <v>846</v>
      </c>
      <c r="H93" s="167">
        <v>1</v>
      </c>
      <c r="I93" s="166"/>
      <c r="J93" s="514">
        <v>30</v>
      </c>
      <c r="K93" s="852">
        <f>$H93*_xlfn.XLOOKUP($G93,'Baumaterialien Matériaux'!$A:$A,'Baumaterialien Matériaux'!V:V,0,0)</f>
        <v>41.7</v>
      </c>
      <c r="L93" s="852">
        <f>$H93*_xlfn.XLOOKUP($G93,'Baumaterialien Matériaux'!$A:$A,'Baumaterialien Matériaux'!Y:Y,0,0)</f>
        <v>0.56299999999999994</v>
      </c>
      <c r="M93" s="852">
        <f>$H93*_xlfn.XLOOKUP($G93,'Baumaterialien Matériaux'!$A:$A,'Baumaterialien Matériaux'!AA:AA,0,0)</f>
        <v>7.47</v>
      </c>
      <c r="N93" s="852">
        <f>$H93*_xlfn.XLOOKUP($G93,'Baumaterialien Matériaux'!$A:$A,'Baumaterialien Matériaux'!AB:AB,0,0)</f>
        <v>0.33700000000000002</v>
      </c>
      <c r="O93" s="852">
        <f>$H93*_xlfn.XLOOKUP($G93,'Baumaterialien Matériaux'!$A:$A,'Baumaterialien Matériaux'!AC:AC,0,0)*44/12</f>
        <v>9.8633333333333333</v>
      </c>
      <c r="P93" s="852">
        <f>$H93*_xlfn.XLOOKUP($G93,'Baumaterialien Matériaux'!$A:$A,'Baumaterialien Matériaux'!AG:AG,0,0)</f>
        <v>0</v>
      </c>
      <c r="Q93" s="1111">
        <f>$H93*_xlfn.XLOOKUP($G93,'Baumaterialien Matériaux'!$A:$A,'Baumaterialien Matériaux'!AH:AH,0,0)</f>
        <v>0</v>
      </c>
      <c r="R93" s="133"/>
      <c r="S93" s="133"/>
      <c r="T93" s="1098"/>
      <c r="U93" s="1095"/>
    </row>
    <row r="94" spans="1:21" ht="15.75" customHeight="1">
      <c r="B94" s="1935"/>
      <c r="C94" s="137" t="s">
        <v>842</v>
      </c>
      <c r="D94" s="166" t="str">
        <f>VLOOKUP(G94,'Baumaterialien Matériaux'!$A$10:$AD$432,30,FALSE)</f>
        <v>Colle bicomposant</v>
      </c>
      <c r="E94" s="1403"/>
      <c r="F94" s="166" t="str">
        <f>_xlfn.XLOOKUP($G94,'Baumaterialien Matériaux'!$A:$A,'Baumaterialien Matériaux'!G:G,0,0)</f>
        <v>kg</v>
      </c>
      <c r="G94" s="522" t="s">
        <v>740</v>
      </c>
      <c r="H94" s="167">
        <v>1</v>
      </c>
      <c r="I94" s="166"/>
      <c r="J94" s="514">
        <v>30</v>
      </c>
      <c r="K94" s="852">
        <f>$H94*_xlfn.XLOOKUP($G94,'Baumaterialien Matériaux'!$A:$A,'Baumaterialien Matériaux'!V:V,0,0)</f>
        <v>24.2</v>
      </c>
      <c r="L94" s="852">
        <f>$H94*_xlfn.XLOOKUP($G94,'Baumaterialien Matériaux'!$A:$A,'Baumaterialien Matériaux'!Y:Y,0,0)</f>
        <v>5.5800000000000002E-2</v>
      </c>
      <c r="M94" s="852">
        <f>$H94*_xlfn.XLOOKUP($G94,'Baumaterialien Matériaux'!$A:$A,'Baumaterialien Matériaux'!AA:AA,0,0)</f>
        <v>4.6500000000000004</v>
      </c>
      <c r="N94" s="852">
        <f>$H94*_xlfn.XLOOKUP($G94,'Baumaterialien Matériaux'!$A:$A,'Baumaterialien Matériaux'!AB:AB,0,0)</f>
        <v>0.187</v>
      </c>
      <c r="O94" s="852">
        <f>$H94*_xlfn.XLOOKUP($G94,'Baumaterialien Matériaux'!$A:$A,'Baumaterialien Matériaux'!AC:AC,0,0)*44/12</f>
        <v>0</v>
      </c>
      <c r="P94" s="852">
        <f>$H94*_xlfn.XLOOKUP($G94,'Baumaterialien Matériaux'!$A:$A,'Baumaterialien Matériaux'!AG:AG,0,0)</f>
        <v>0</v>
      </c>
      <c r="Q94" s="1111">
        <f>$H94*_xlfn.XLOOKUP($G94,'Baumaterialien Matériaux'!$A:$A,'Baumaterialien Matériaux'!AH:AH,0,0)</f>
        <v>0</v>
      </c>
      <c r="T94" s="1098"/>
    </row>
    <row r="95" spans="1:21" s="572" customFormat="1" ht="16.5" customHeight="1" thickBot="1">
      <c r="B95" s="619"/>
      <c r="C95" s="615"/>
      <c r="D95" s="615"/>
      <c r="E95" s="615"/>
      <c r="F95" s="615"/>
      <c r="G95" s="614"/>
      <c r="J95" s="871">
        <v>30</v>
      </c>
      <c r="K95" s="861">
        <f t="shared" ref="K95:L95" si="34">SUM(K93:K94)</f>
        <v>65.900000000000006</v>
      </c>
      <c r="L95" s="861">
        <f t="shared" si="34"/>
        <v>0.61879999999999991</v>
      </c>
      <c r="M95" s="861">
        <f t="shared" ref="M95:O95" si="35">SUM(M93:M94)</f>
        <v>12.120000000000001</v>
      </c>
      <c r="N95" s="861">
        <f t="shared" si="35"/>
        <v>0.52400000000000002</v>
      </c>
      <c r="O95" s="861">
        <f t="shared" si="35"/>
        <v>9.8633333333333333</v>
      </c>
      <c r="P95" s="861">
        <f t="shared" ref="P95:Q95" si="36">SUM(P93:P94)</f>
        <v>0</v>
      </c>
      <c r="Q95" s="861">
        <f t="shared" si="36"/>
        <v>0</v>
      </c>
      <c r="R95" s="1109"/>
      <c r="S95" s="1197">
        <f>(M95+N95)/J94</f>
        <v>0.42146666666666671</v>
      </c>
      <c r="T95" s="1201"/>
    </row>
    <row r="96" spans="1:21" ht="16.5" customHeight="1" thickTop="1">
      <c r="J96" s="868"/>
      <c r="K96" s="857"/>
      <c r="L96" s="857"/>
      <c r="M96" s="857"/>
      <c r="N96" s="857"/>
      <c r="O96" s="857"/>
      <c r="P96" s="857"/>
      <c r="Q96" s="857"/>
    </row>
    <row r="97" spans="1:20" s="1095" customFormat="1" ht="14.1" customHeight="1">
      <c r="A97" s="1127" t="s">
        <v>847</v>
      </c>
      <c r="B97" s="1078" t="s">
        <v>848</v>
      </c>
      <c r="C97" s="1198" t="s">
        <v>849</v>
      </c>
      <c r="D97" s="517" t="str">
        <f>VLOOKUP(G97,'Baumaterialien Matériaux'!$A$10:$AD$432,30,FALSE)</f>
        <v>Dalle en céramique/grès, 9 mm</v>
      </c>
      <c r="E97" s="1578"/>
      <c r="F97" s="517" t="str">
        <f>_xlfn.XLOOKUP($G97,'Baumaterialien Matériaux'!$A:$A,'Baumaterialien Matériaux'!G:G,0,0)</f>
        <v>m2</v>
      </c>
      <c r="G97" s="1199" t="s">
        <v>850</v>
      </c>
      <c r="H97" s="517">
        <v>1</v>
      </c>
      <c r="I97" s="517"/>
      <c r="J97" s="1193">
        <v>30</v>
      </c>
      <c r="K97" s="1194">
        <f>$H97*_xlfn.XLOOKUP($G97,'Baumaterialien Matériaux'!$A:$A,'Baumaterialien Matériaux'!V:V,0,0)</f>
        <v>66</v>
      </c>
      <c r="L97" s="1194">
        <f>$H97*_xlfn.XLOOKUP($G97,'Baumaterialien Matériaux'!$A:$A,'Baumaterialien Matériaux'!Y:Y,0,0)</f>
        <v>17</v>
      </c>
      <c r="M97" s="1194">
        <f>$H97*_xlfn.XLOOKUP($G97,'Baumaterialien Matériaux'!$A:$A,'Baumaterialien Matériaux'!AA:AA,0,0)</f>
        <v>14</v>
      </c>
      <c r="N97" s="1194">
        <f>$H97*_xlfn.XLOOKUP($G97,'Baumaterialien Matériaux'!$A:$A,'Baumaterialien Matériaux'!AB:AB,0,0)</f>
        <v>4.1100000000000003</v>
      </c>
      <c r="O97" s="1194">
        <f>$H97*_xlfn.XLOOKUP($G97,'Baumaterialien Matériaux'!$A:$A,'Baumaterialien Matériaux'!AC:AC,0,0)*44/12</f>
        <v>0</v>
      </c>
      <c r="P97" s="1194">
        <f>$H97*_xlfn.XLOOKUP($G97,'Baumaterialien Matériaux'!$A:$A,'Baumaterialien Matériaux'!AG:AG,0,0)</f>
        <v>0</v>
      </c>
      <c r="Q97" s="1195">
        <f>$H97*_xlfn.XLOOKUP($G97,'Baumaterialien Matériaux'!$A:$A,'Baumaterialien Matériaux'!AH:AH,0,0)</f>
        <v>0</v>
      </c>
      <c r="R97" s="1108"/>
      <c r="S97" s="1108"/>
      <c r="T97" s="1128"/>
    </row>
    <row r="98" spans="1:20" ht="14.1" customHeight="1">
      <c r="A98" s="2"/>
      <c r="B98" s="2"/>
      <c r="C98" s="1114" t="s">
        <v>851</v>
      </c>
      <c r="D98" s="3" t="str">
        <f>VLOOKUP(G98,'Baumaterialien Matériaux'!$A$10:$AD$432,30,FALSE)</f>
        <v xml:space="preserve">Colle de construction/mortier d'enrobage minéral(e) </v>
      </c>
      <c r="F98" s="3" t="str">
        <f>_xlfn.XLOOKUP($G98,'Baumaterialien Matériaux'!$A:$A,'Baumaterialien Matériaux'!G:G,0,0)</f>
        <v>kg</v>
      </c>
      <c r="G98" s="616" t="s">
        <v>633</v>
      </c>
      <c r="H98" s="3">
        <v>13</v>
      </c>
      <c r="J98" s="868">
        <v>30</v>
      </c>
      <c r="K98" s="857">
        <f>$H98*_xlfn.XLOOKUP($G98,'Baumaterialien Matériaux'!$A:$A,'Baumaterialien Matériaux'!V:V,0,0)</f>
        <v>19.11</v>
      </c>
      <c r="L98" s="857">
        <f>$H98*_xlfn.XLOOKUP($G98,'Baumaterialien Matériaux'!$A:$A,'Baumaterialien Matériaux'!Y:Y,0,0)</f>
        <v>0.68120000000000003</v>
      </c>
      <c r="M98" s="857">
        <f>$H98*_xlfn.XLOOKUP($G98,'Baumaterialien Matériaux'!$A:$A,'Baumaterialien Matériaux'!AA:AA,0,0)</f>
        <v>5.109</v>
      </c>
      <c r="N98" s="857">
        <f>$H98*_xlfn.XLOOKUP($G98,'Baumaterialien Matériaux'!$A:$A,'Baumaterialien Matériaux'!AB:AB,0,0)</f>
        <v>0.1651</v>
      </c>
      <c r="O98" s="857">
        <f>$H98*_xlfn.XLOOKUP($G98,'Baumaterialien Matériaux'!$A:$A,'Baumaterialien Matériaux'!AC:AC,0,0)*44/12</f>
        <v>0</v>
      </c>
      <c r="P98" s="857">
        <f>$H98*_xlfn.XLOOKUP($G98,'Baumaterialien Matériaux'!$A:$A,'Baumaterialien Matériaux'!AG:AG,0,0)</f>
        <v>0</v>
      </c>
      <c r="Q98" s="857">
        <f>$H98*_xlfn.XLOOKUP($G98,'Baumaterialien Matériaux'!$A:$A,'Baumaterialien Matériaux'!AH:AH,0,0)</f>
        <v>0</v>
      </c>
      <c r="T98" s="1100"/>
    </row>
    <row r="99" spans="1:20" s="572" customFormat="1" ht="14.1" customHeight="1" thickBot="1">
      <c r="A99" s="612"/>
      <c r="B99" s="612"/>
      <c r="C99" s="1200"/>
      <c r="G99" s="1129"/>
      <c r="J99" s="871"/>
      <c r="K99" s="861">
        <f t="shared" ref="K99:L99" si="37">SUM(K97:K98)</f>
        <v>85.11</v>
      </c>
      <c r="L99" s="861">
        <f t="shared" si="37"/>
        <v>17.6812</v>
      </c>
      <c r="M99" s="861">
        <f t="shared" ref="M99:Q99" si="38">SUM(M97:M98)</f>
        <v>19.109000000000002</v>
      </c>
      <c r="N99" s="861">
        <f t="shared" si="38"/>
        <v>4.2751000000000001</v>
      </c>
      <c r="O99" s="861">
        <f t="shared" si="38"/>
        <v>0</v>
      </c>
      <c r="P99" s="861">
        <f t="shared" si="38"/>
        <v>0</v>
      </c>
      <c r="Q99" s="861">
        <f t="shared" si="38"/>
        <v>0</v>
      </c>
      <c r="R99" s="1109"/>
      <c r="S99" s="1197">
        <f>(M99+N99)/J98</f>
        <v>0.77947000000000011</v>
      </c>
      <c r="T99" s="1130"/>
    </row>
    <row r="100" spans="1:20" ht="14.1" customHeight="1" thickTop="1">
      <c r="A100" s="2"/>
      <c r="B100" s="2"/>
      <c r="C100" s="1114"/>
      <c r="G100" s="616"/>
      <c r="J100" s="868"/>
      <c r="K100" s="857"/>
      <c r="L100" s="857"/>
      <c r="M100" s="857"/>
      <c r="N100" s="857"/>
      <c r="O100" s="857"/>
      <c r="P100" s="857"/>
      <c r="Q100" s="857"/>
      <c r="S100" s="1190"/>
      <c r="T100" s="1100"/>
    </row>
    <row r="101" spans="1:20" s="1095" customFormat="1" ht="14.1" customHeight="1">
      <c r="A101" s="1095" t="s">
        <v>852</v>
      </c>
      <c r="B101" s="165" t="s">
        <v>853</v>
      </c>
      <c r="C101" s="1115" t="s">
        <v>845</v>
      </c>
      <c r="D101" s="166" t="str">
        <f>VLOOKUP(G101,'Baumaterialien Matériaux'!$A$10:$AD$432,30,FALSE)</f>
        <v>Parquet, 2 plis, vitrifié d'usine, 11 mm</v>
      </c>
      <c r="E101" s="1403"/>
      <c r="F101" s="166" t="str">
        <f>_xlfn.XLOOKUP($G101,'Baumaterialien Matériaux'!$A:$A,'Baumaterialien Matériaux'!G:G,0,0)</f>
        <v>m2</v>
      </c>
      <c r="G101" s="522" t="s">
        <v>846</v>
      </c>
      <c r="H101" s="166">
        <f>1*0.7</f>
        <v>0.7</v>
      </c>
      <c r="I101" s="166"/>
      <c r="J101" s="514">
        <v>30</v>
      </c>
      <c r="K101" s="852">
        <f>$H101*_xlfn.XLOOKUP($G101,'Baumaterialien Matériaux'!$A:$A,'Baumaterialien Matériaux'!V:V,0,0)</f>
        <v>29.19</v>
      </c>
      <c r="L101" s="852">
        <f>$H101*_xlfn.XLOOKUP($G101,'Baumaterialien Matériaux'!$A:$A,'Baumaterialien Matériaux'!Y:Y,0,0)</f>
        <v>0.39409999999999995</v>
      </c>
      <c r="M101" s="852">
        <f>$H101*_xlfn.XLOOKUP($G101,'Baumaterialien Matériaux'!$A:$A,'Baumaterialien Matériaux'!AA:AA,0,0)</f>
        <v>5.2289999999999992</v>
      </c>
      <c r="N101" s="852">
        <f>$H101*_xlfn.XLOOKUP($G101,'Baumaterialien Matériaux'!$A:$A,'Baumaterialien Matériaux'!AB:AB,0,0)</f>
        <v>0.2359</v>
      </c>
      <c r="O101" s="852">
        <f>$H101*_xlfn.XLOOKUP($G101,'Baumaterialien Matériaux'!$A:$A,'Baumaterialien Matériaux'!AC:AC,0,0)*44/12</f>
        <v>6.9043333333333328</v>
      </c>
      <c r="P101" s="852">
        <f>$H101*_xlfn.XLOOKUP($G101,'Baumaterialien Matériaux'!$A:$A,'Baumaterialien Matériaux'!AG:AG,0,0)</f>
        <v>0</v>
      </c>
      <c r="Q101" s="1111">
        <f>$H101*_xlfn.XLOOKUP($G101,'Baumaterialien Matériaux'!$A:$A,'Baumaterialien Matériaux'!AH:AH,0,0)</f>
        <v>0</v>
      </c>
      <c r="R101" s="1118"/>
      <c r="S101" s="1118"/>
      <c r="T101" s="1119"/>
    </row>
    <row r="102" spans="1:20" ht="14.1" customHeight="1">
      <c r="A102" s="2"/>
      <c r="B102" s="165" t="s">
        <v>854</v>
      </c>
      <c r="C102" s="137" t="s">
        <v>842</v>
      </c>
      <c r="D102" s="166" t="str">
        <f>VLOOKUP(G102,'Baumaterialien Matériaux'!$A$10:$AD$432,30,FALSE)</f>
        <v>Colle bicomposant</v>
      </c>
      <c r="E102" s="1403"/>
      <c r="F102" s="166" t="str">
        <f>_xlfn.XLOOKUP($G102,'Baumaterialien Matériaux'!$A:$A,'Baumaterialien Matériaux'!G:G,0,0)</f>
        <v>kg</v>
      </c>
      <c r="G102" s="522" t="s">
        <v>740</v>
      </c>
      <c r="H102" s="167">
        <v>0.7</v>
      </c>
      <c r="I102" s="166"/>
      <c r="J102" s="514">
        <v>30</v>
      </c>
      <c r="K102" s="852">
        <f>$H102*_xlfn.XLOOKUP($G102,'Baumaterialien Matériaux'!$A:$A,'Baumaterialien Matériaux'!V:V,0,0)</f>
        <v>16.939999999999998</v>
      </c>
      <c r="L102" s="852">
        <f>$H102*_xlfn.XLOOKUP($G102,'Baumaterialien Matériaux'!$A:$A,'Baumaterialien Matériaux'!Y:Y,0,0)</f>
        <v>3.9059999999999997E-2</v>
      </c>
      <c r="M102" s="852">
        <f>$H102*_xlfn.XLOOKUP($G102,'Baumaterialien Matériaux'!$A:$A,'Baumaterialien Matériaux'!AA:AA,0,0)</f>
        <v>3.2549999999999999</v>
      </c>
      <c r="N102" s="852">
        <f>$H102*_xlfn.XLOOKUP($G102,'Baumaterialien Matériaux'!$A:$A,'Baumaterialien Matériaux'!AB:AB,0,0)</f>
        <v>0.13089999999999999</v>
      </c>
      <c r="O102" s="852">
        <f>$H102*_xlfn.XLOOKUP($G102,'Baumaterialien Matériaux'!$A:$A,'Baumaterialien Matériaux'!AC:AC,0,0)*44/12</f>
        <v>0</v>
      </c>
      <c r="P102" s="852">
        <f>$H102*_xlfn.XLOOKUP($G102,'Baumaterialien Matériaux'!$A:$A,'Baumaterialien Matériaux'!AG:AG,0,0)</f>
        <v>0</v>
      </c>
      <c r="Q102" s="1111">
        <f>$H102*_xlfn.XLOOKUP($G102,'Baumaterialien Matériaux'!$A:$A,'Baumaterialien Matériaux'!AH:AH,0,0)</f>
        <v>0</v>
      </c>
      <c r="R102" s="125"/>
      <c r="S102" s="125"/>
      <c r="T102" s="1088"/>
    </row>
    <row r="103" spans="1:20" ht="14.1" customHeight="1">
      <c r="A103" s="2"/>
      <c r="B103" s="1078" t="s">
        <v>855</v>
      </c>
      <c r="C103" s="1191" t="s">
        <v>849</v>
      </c>
      <c r="D103" s="517" t="str">
        <f>VLOOKUP(G103,'Baumaterialien Matériaux'!$A$10:$AD$432,30,FALSE)</f>
        <v>Dalle en céramique/grès, 9 mm</v>
      </c>
      <c r="E103" s="1578"/>
      <c r="F103" s="517" t="str">
        <f>_xlfn.XLOOKUP($G103,'Baumaterialien Matériaux'!$A:$A,'Baumaterialien Matériaux'!G:G,0,0)</f>
        <v>m2</v>
      </c>
      <c r="G103" s="1192" t="s">
        <v>850</v>
      </c>
      <c r="H103" s="517">
        <v>0.3</v>
      </c>
      <c r="I103" s="517"/>
      <c r="J103" s="1193">
        <v>30</v>
      </c>
      <c r="K103" s="1194">
        <f>$H103*_xlfn.XLOOKUP($G103,'Baumaterialien Matériaux'!$A:$A,'Baumaterialien Matériaux'!V:V,0,0)</f>
        <v>19.8</v>
      </c>
      <c r="L103" s="1194">
        <f>$H103*_xlfn.XLOOKUP($G103,'Baumaterialien Matériaux'!$A:$A,'Baumaterialien Matériaux'!Y:Y,0,0)</f>
        <v>5.0999999999999996</v>
      </c>
      <c r="M103" s="1194">
        <f>$H103*_xlfn.XLOOKUP($G103,'Baumaterialien Matériaux'!$A:$A,'Baumaterialien Matériaux'!AA:AA,0,0)</f>
        <v>4.2</v>
      </c>
      <c r="N103" s="1194">
        <f>$H103*_xlfn.XLOOKUP($G103,'Baumaterialien Matériaux'!$A:$A,'Baumaterialien Matériaux'!AB:AB,0,0)</f>
        <v>1.2330000000000001</v>
      </c>
      <c r="O103" s="1194">
        <f>$H103*_xlfn.XLOOKUP($G103,'Baumaterialien Matériaux'!$A:$A,'Baumaterialien Matériaux'!AC:AC,0,0)*44/12</f>
        <v>0</v>
      </c>
      <c r="P103" s="1194">
        <f>$H103*_xlfn.XLOOKUP($G103,'Baumaterialien Matériaux'!$A:$A,'Baumaterialien Matériaux'!AG:AG,0,0)</f>
        <v>0</v>
      </c>
      <c r="Q103" s="1195">
        <f>$H103*_xlfn.XLOOKUP($G103,'Baumaterialien Matériaux'!$A:$A,'Baumaterialien Matériaux'!AH:AH,0,0)</f>
        <v>0</v>
      </c>
      <c r="R103" s="125"/>
      <c r="S103" s="125"/>
      <c r="T103" s="1088"/>
    </row>
    <row r="104" spans="1:20" ht="14.1" customHeight="1">
      <c r="A104" s="2"/>
      <c r="B104" s="2"/>
      <c r="C104" s="3" t="s">
        <v>851</v>
      </c>
      <c r="D104" s="3" t="str">
        <f>VLOOKUP(G104,'Baumaterialien Matériaux'!$A$10:$AD$432,30,FALSE)</f>
        <v xml:space="preserve">Colle de construction/mortier d'enrobage minéral(e) </v>
      </c>
      <c r="F104" s="3" t="str">
        <f>_xlfn.XLOOKUP($G104,'Baumaterialien Matériaux'!$A:$A,'Baumaterialien Matériaux'!G:G,0,0)</f>
        <v>kg</v>
      </c>
      <c r="G104" s="1139" t="s">
        <v>633</v>
      </c>
      <c r="H104" s="3">
        <f>13*0.3</f>
        <v>3.9</v>
      </c>
      <c r="J104" s="868">
        <v>30</v>
      </c>
      <c r="K104" s="857">
        <f>$H104*_xlfn.XLOOKUP($G104,'Baumaterialien Matériaux'!$A:$A,'Baumaterialien Matériaux'!V:V,0,0)</f>
        <v>5.7329999999999997</v>
      </c>
      <c r="L104" s="857">
        <f>$H104*_xlfn.XLOOKUP($G104,'Baumaterialien Matériaux'!$A:$A,'Baumaterialien Matériaux'!Y:Y,0,0)</f>
        <v>0.20436000000000001</v>
      </c>
      <c r="M104" s="857">
        <f>$H104*_xlfn.XLOOKUP($G104,'Baumaterialien Matériaux'!$A:$A,'Baumaterialien Matériaux'!AA:AA,0,0)</f>
        <v>1.5327</v>
      </c>
      <c r="N104" s="857">
        <f>$H104*_xlfn.XLOOKUP($G104,'Baumaterialien Matériaux'!$A:$A,'Baumaterialien Matériaux'!AB:AB,0,0)</f>
        <v>4.9529999999999998E-2</v>
      </c>
      <c r="O104" s="857">
        <f>$H104*_xlfn.XLOOKUP($G104,'Baumaterialien Matériaux'!$A:$A,'Baumaterialien Matériaux'!AC:AC,0,0)*44/12</f>
        <v>0</v>
      </c>
      <c r="P104" s="857">
        <f>$H104*_xlfn.XLOOKUP($G104,'Baumaterialien Matériaux'!$A:$A,'Baumaterialien Matériaux'!AG:AG,0,0)</f>
        <v>0</v>
      </c>
      <c r="Q104" s="857">
        <f>$H104*_xlfn.XLOOKUP($G104,'Baumaterialien Matériaux'!$A:$A,'Baumaterialien Matériaux'!AH:AH,0,0)</f>
        <v>0</v>
      </c>
      <c r="R104" s="125"/>
      <c r="S104" s="125"/>
      <c r="T104" s="1088"/>
    </row>
    <row r="105" spans="1:20" s="572" customFormat="1" ht="14.1" customHeight="1" thickBot="1">
      <c r="A105" s="612"/>
      <c r="B105" s="612"/>
      <c r="G105" s="1196"/>
      <c r="J105" s="871"/>
      <c r="K105" s="861">
        <f t="shared" ref="K105:L105" si="39">SUM(K101:K104)</f>
        <v>71.662999999999997</v>
      </c>
      <c r="L105" s="861">
        <f t="shared" si="39"/>
        <v>5.73752</v>
      </c>
      <c r="M105" s="861">
        <f>SUM(M101:M104)</f>
        <v>14.216699999999998</v>
      </c>
      <c r="N105" s="861">
        <f t="shared" ref="N105:Q105" si="40">SUM(N101:N104)</f>
        <v>1.6493300000000002</v>
      </c>
      <c r="O105" s="861">
        <f t="shared" si="40"/>
        <v>6.9043333333333328</v>
      </c>
      <c r="P105" s="861">
        <f t="shared" si="40"/>
        <v>0</v>
      </c>
      <c r="Q105" s="861">
        <f t="shared" si="40"/>
        <v>0</v>
      </c>
      <c r="R105" s="1125"/>
      <c r="S105" s="1197">
        <f>(M105+N105)/J104</f>
        <v>0.52886766666666662</v>
      </c>
      <c r="T105" s="1126">
        <v>0.37</v>
      </c>
    </row>
    <row r="106" spans="1:20" s="134" customFormat="1" ht="18" thickTop="1">
      <c r="A106" s="132" t="s">
        <v>856</v>
      </c>
      <c r="B106" s="132" t="str">
        <f>'Outil détaillé'!D65</f>
        <v>Sondes géothermiques</v>
      </c>
      <c r="C106" s="132"/>
      <c r="D106" s="132"/>
      <c r="E106" s="132"/>
      <c r="F106" s="132"/>
      <c r="G106" s="504"/>
      <c r="H106" s="133" t="s">
        <v>635</v>
      </c>
      <c r="I106" s="132"/>
      <c r="J106" s="869"/>
      <c r="K106" s="858"/>
      <c r="L106" s="858"/>
      <c r="M106" s="858"/>
      <c r="N106" s="858"/>
      <c r="O106" s="858"/>
      <c r="P106" s="858"/>
      <c r="Q106" s="858"/>
      <c r="R106" s="133"/>
      <c r="S106" s="133"/>
    </row>
    <row r="107" spans="1:20">
      <c r="A107" s="1"/>
      <c r="B107" s="1"/>
      <c r="C107" s="1"/>
      <c r="D107" s="1"/>
      <c r="E107" s="1"/>
      <c r="F107" s="1"/>
      <c r="G107" s="503"/>
      <c r="H107" s="125"/>
      <c r="I107" s="1"/>
      <c r="J107" s="866"/>
      <c r="K107" s="854"/>
      <c r="L107" s="854"/>
      <c r="M107" s="854"/>
      <c r="N107" s="854"/>
      <c r="O107" s="854"/>
      <c r="P107" s="854"/>
      <c r="Q107" s="854"/>
      <c r="R107" s="125"/>
      <c r="S107" s="125"/>
      <c r="T107" s="3"/>
    </row>
    <row r="108" spans="1:20" s="613" customFormat="1" ht="14.1" customHeight="1" thickBot="1">
      <c r="A108" s="1136" t="s">
        <v>857</v>
      </c>
      <c r="B108" s="1120"/>
      <c r="C108" s="1097" t="s">
        <v>858</v>
      </c>
      <c r="D108" s="575" t="str">
        <f>VLOOKUP(G108,'Baumaterialien Matériaux'!$A$10:$AD$432,30,FALSE)</f>
        <v>Chape de ciment, 85 mm</v>
      </c>
      <c r="E108" s="575"/>
      <c r="F108" s="575" t="str">
        <f>_xlfn.XLOOKUP($G108,'Baumaterialien Matériaux'!$A:$A,'Baumaterialien Matériaux'!G:G,0,0)</f>
        <v>kg</v>
      </c>
      <c r="G108" s="1121" t="s">
        <v>859</v>
      </c>
      <c r="H108" s="575">
        <f>1850*0.07</f>
        <v>129.5</v>
      </c>
      <c r="I108" s="575"/>
      <c r="J108" s="1122">
        <v>30</v>
      </c>
      <c r="K108" s="1123">
        <f>$H108*_xlfn.XLOOKUP($G108,'Baumaterialien Matériaux'!$A:$A,'Baumaterialien Matériaux'!V:V,0,0)</f>
        <v>23.180499999999999</v>
      </c>
      <c r="L108" s="1123">
        <f>$H108*_xlfn.XLOOKUP($G108,'Baumaterialien Matériaux'!$A:$A,'Baumaterialien Matériaux'!Y:Y,0,0)</f>
        <v>6.8117000000000001</v>
      </c>
      <c r="M108" s="1123">
        <f>$H108*_xlfn.XLOOKUP($G108,'Baumaterialien Matériaux'!$A:$A,'Baumaterialien Matériaux'!AA:AA,0,0)</f>
        <v>13.8565</v>
      </c>
      <c r="N108" s="1123">
        <f>$H108*_xlfn.XLOOKUP($G108,'Baumaterialien Matériaux'!$A:$A,'Baumaterialien Matériaux'!AB:AB,0,0)</f>
        <v>1.6446499999999999</v>
      </c>
      <c r="O108" s="1123">
        <f>$H108*_xlfn.XLOOKUP($G108,'Baumaterialien Matériaux'!$A:$A,'Baumaterialien Matériaux'!AC:AC,0,0)*44/12</f>
        <v>0</v>
      </c>
      <c r="P108" s="1123">
        <f>$H108*_xlfn.XLOOKUP($G108,'Baumaterialien Matériaux'!$A:$A,'Baumaterialien Matériaux'!AG:AG,0,0)</f>
        <v>0</v>
      </c>
      <c r="Q108" s="1124">
        <f>$H108*_xlfn.XLOOKUP($G108,'Baumaterialien Matériaux'!$A:$A,'Baumaterialien Matériaux'!AH:AH,0,0)</f>
        <v>0</v>
      </c>
      <c r="R108" s="1137"/>
      <c r="S108" s="1197">
        <f>(M108+N108)/J108</f>
        <v>0.51670500000000008</v>
      </c>
      <c r="T108" s="1138"/>
    </row>
    <row r="109" spans="1:20" ht="14.1" customHeight="1" thickTop="1">
      <c r="A109" s="2"/>
      <c r="B109" s="1084"/>
      <c r="G109" s="3"/>
      <c r="Q109" s="3"/>
      <c r="R109" s="125"/>
      <c r="S109" s="125"/>
      <c r="T109" s="1088"/>
    </row>
    <row r="110" spans="1:20" s="613" customFormat="1" ht="14.1" customHeight="1" thickBot="1">
      <c r="A110" s="1136" t="s">
        <v>860</v>
      </c>
      <c r="B110" s="1120"/>
      <c r="D110" s="575" t="str">
        <f>VLOOKUP(G110,'Baumaterialien Matériaux'!$A$10:$AD$432,30,FALSE)</f>
        <v>Chape d'anhydrite, 60 mm</v>
      </c>
      <c r="G110" s="1121" t="s">
        <v>861</v>
      </c>
      <c r="H110" s="613">
        <f>0.06*2000</f>
        <v>120</v>
      </c>
      <c r="J110" s="613">
        <v>30</v>
      </c>
      <c r="K110" s="1123">
        <f>$H110*_xlfn.XLOOKUP($G110,'Baumaterialien Matériaux'!$A:$A,'Baumaterialien Matériaux'!V:V,0,0)</f>
        <v>45.12</v>
      </c>
      <c r="L110" s="1123">
        <f>$H110*_xlfn.XLOOKUP($G110,'Baumaterialien Matériaux'!$A:$A,'Baumaterialien Matériaux'!Y:Y,0,0)</f>
        <v>6.3120000000000003</v>
      </c>
      <c r="M110" s="1123">
        <f>$H110*_xlfn.XLOOKUP($G110,'Baumaterialien Matériaux'!$A:$A,'Baumaterialien Matériaux'!AA:AA,0,0)</f>
        <v>9.4079999999999995</v>
      </c>
      <c r="N110" s="1123">
        <f>$H110*_xlfn.XLOOKUP($G110,'Baumaterialien Matériaux'!$A:$A,'Baumaterialien Matériaux'!AB:AB,0,0)</f>
        <v>1.524</v>
      </c>
      <c r="O110" s="1123">
        <f>$H110*_xlfn.XLOOKUP($G110,'Baumaterialien Matériaux'!$A:$A,'Baumaterialien Matériaux'!AC:AC,0,0)*44/12</f>
        <v>0</v>
      </c>
      <c r="P110" s="1123">
        <f>$H110*_xlfn.XLOOKUP($G110,'Baumaterialien Matériaux'!$A:$A,'Baumaterialien Matériaux'!AG:AG,0,0)</f>
        <v>0</v>
      </c>
      <c r="Q110" s="1124">
        <f>$H110*_xlfn.XLOOKUP($G110,'Baumaterialien Matériaux'!$A:$A,'Baumaterialien Matériaux'!AH:AH,0,0)</f>
        <v>0</v>
      </c>
      <c r="R110" s="1137"/>
      <c r="S110" s="1137"/>
      <c r="T110" s="1138"/>
    </row>
    <row r="111" spans="1:20" ht="14.1" customHeight="1" thickTop="1">
      <c r="A111" s="2"/>
      <c r="B111" s="1084"/>
      <c r="C111" s="1131"/>
      <c r="D111" s="974"/>
      <c r="E111" s="1788"/>
      <c r="F111" s="974"/>
      <c r="G111" s="1132"/>
      <c r="H111" s="974"/>
      <c r="I111" s="974"/>
      <c r="J111" s="1133"/>
      <c r="K111" s="1134"/>
      <c r="L111" s="1134"/>
      <c r="M111" s="1134"/>
      <c r="N111" s="1134"/>
      <c r="O111" s="1134"/>
      <c r="P111" s="1134"/>
      <c r="Q111" s="1135"/>
      <c r="R111" s="125"/>
      <c r="S111" s="125"/>
      <c r="T111" s="1088"/>
    </row>
    <row r="112" spans="1:20" s="1095" customFormat="1" ht="13.5" customHeight="1">
      <c r="A112" s="1127" t="s">
        <v>862</v>
      </c>
      <c r="B112" s="1127"/>
      <c r="D112" s="1095" t="str">
        <f>VLOOKUP(G112,'Baumaterialien Matériaux'!$A$10:$AD$432,30,FALSE)</f>
        <v>Plaque de plâtre armé de fibres</v>
      </c>
      <c r="F112" s="1095" t="str">
        <f>_xlfn.XLOOKUP($G112,'Baumaterialien Matériaux'!$A:$A,'Baumaterialien Matériaux'!G:G,0,0)</f>
        <v>kg</v>
      </c>
      <c r="G112" s="1140" t="s">
        <v>808</v>
      </c>
      <c r="H112" s="1095">
        <f>0.0125*1200</f>
        <v>15</v>
      </c>
      <c r="J112" s="1141">
        <v>30</v>
      </c>
      <c r="K112" s="1142">
        <f>$H112*_xlfn.XLOOKUP($G112,'Baumaterialien Matériaux'!$A:$A,'Baumaterialien Matériaux'!V:V,0,0)</f>
        <v>35.85</v>
      </c>
      <c r="L112" s="1142">
        <f>$H112*_xlfn.XLOOKUP($G112,'Baumaterialien Matériaux'!$A:$A,'Baumaterialien Matériaux'!Y:Y,0,0)</f>
        <v>1.1715</v>
      </c>
      <c r="M112" s="1142">
        <f>$H112*_xlfn.XLOOKUP($G112,'Baumaterialien Matériaux'!$A:$A,'Baumaterialien Matériaux'!AA:AA,0,0)</f>
        <v>7.9950000000000001</v>
      </c>
      <c r="N112" s="1142">
        <f>$H112*_xlfn.XLOOKUP($G112,'Baumaterialien Matériaux'!$A:$A,'Baumaterialien Matériaux'!AB:AB,0,0)</f>
        <v>0.27899999999999997</v>
      </c>
      <c r="O112" s="1142">
        <f>$H112*_xlfn.XLOOKUP($G112,'Baumaterialien Matériaux'!$A:$A,'Baumaterialien Matériaux'!AC:AC,0,0)*44/12</f>
        <v>2.4695</v>
      </c>
      <c r="P112" s="1142">
        <f>$H112*_xlfn.XLOOKUP($G112,'Baumaterialien Matériaux'!$A:$A,'Baumaterialien Matériaux'!AG:AG,0,0)</f>
        <v>0</v>
      </c>
      <c r="Q112" s="1142">
        <f>$H112*_xlfn.XLOOKUP($G112,'Baumaterialien Matériaux'!$A:$A,'Baumaterialien Matériaux'!AH:AH,0,0)</f>
        <v>0</v>
      </c>
      <c r="R112" s="1118"/>
      <c r="S112" s="1118"/>
      <c r="T112" s="1119"/>
    </row>
    <row r="113" spans="1:21" ht="13.5" customHeight="1">
      <c r="A113" s="2"/>
      <c r="B113" s="2"/>
      <c r="D113" s="3" t="str">
        <f>VLOOKUP(G113,'Baumaterialien Matériaux'!$A$10:$AD$432,30,FALSE)</f>
        <v>Plaque de plâtre armé de fibres</v>
      </c>
      <c r="F113" s="3" t="str">
        <f>_xlfn.XLOOKUP($G113,'Baumaterialien Matériaux'!$A:$A,'Baumaterialien Matériaux'!G:G,0,0)</f>
        <v>kg</v>
      </c>
      <c r="G113" s="1139" t="s">
        <v>808</v>
      </c>
      <c r="H113" s="3">
        <f>1200*0.0125</f>
        <v>15</v>
      </c>
      <c r="J113" s="868">
        <v>30</v>
      </c>
      <c r="K113" s="857">
        <f>$H113*_xlfn.XLOOKUP($G113,'Baumaterialien Matériaux'!$A:$A,'Baumaterialien Matériaux'!V:V,0,0)</f>
        <v>35.85</v>
      </c>
      <c r="L113" s="857">
        <f>$H113*_xlfn.XLOOKUP($G113,'Baumaterialien Matériaux'!$A:$A,'Baumaterialien Matériaux'!Y:Y,0,0)</f>
        <v>1.1715</v>
      </c>
      <c r="M113" s="857">
        <f>$H113*_xlfn.XLOOKUP($G113,'Baumaterialien Matériaux'!$A:$A,'Baumaterialien Matériaux'!AA:AA,0,0)</f>
        <v>7.9950000000000001</v>
      </c>
      <c r="N113" s="857">
        <f>$H113*_xlfn.XLOOKUP($G113,'Baumaterialien Matériaux'!$A:$A,'Baumaterialien Matériaux'!AB:AB,0,0)</f>
        <v>0.27899999999999997</v>
      </c>
      <c r="O113" s="857">
        <f>$H113*_xlfn.XLOOKUP($G113,'Baumaterialien Matériaux'!$A:$A,'Baumaterialien Matériaux'!AC:AC,0,0)*44/12</f>
        <v>2.4695</v>
      </c>
      <c r="P113" s="857">
        <f>$H113*_xlfn.XLOOKUP($G113,'Baumaterialien Matériaux'!$A:$A,'Baumaterialien Matériaux'!AG:AG,0,0)</f>
        <v>0</v>
      </c>
      <c r="Q113" s="857">
        <f>$H113*_xlfn.XLOOKUP($G113,'Baumaterialien Matériaux'!$A:$A,'Baumaterialien Matériaux'!AH:AH,0,0)</f>
        <v>0</v>
      </c>
      <c r="R113" s="125"/>
      <c r="S113" s="125"/>
      <c r="T113" s="1088"/>
    </row>
    <row r="114" spans="1:21" ht="16.5" customHeight="1">
      <c r="C114" s="3" t="s">
        <v>863</v>
      </c>
      <c r="D114" s="3" t="str">
        <f>VLOOKUP(G114,'Baumaterialien Matériaux'!$A$10:$AD$432,30,FALSE)</f>
        <v>Béton cellulaire</v>
      </c>
      <c r="F114" s="3" t="str">
        <f>VLOOKUP(G114,'Baumaterialien Matériaux'!$A$10:$AD$432,7,FALSE)</f>
        <v>kg</v>
      </c>
      <c r="G114" s="1202" t="s">
        <v>864</v>
      </c>
      <c r="H114" s="3">
        <f>400*0.0235</f>
        <v>9.4</v>
      </c>
      <c r="J114" s="868">
        <v>30</v>
      </c>
      <c r="K114" s="857">
        <f>$H114*_xlfn.XLOOKUP($G114,'Baumaterialien Matériaux'!$A:$A,'Baumaterialien Matériaux'!V:V,0,0)</f>
        <v>7.5858000000000008</v>
      </c>
      <c r="L114" s="857">
        <f>$H114*_xlfn.XLOOKUP($G114,'Baumaterialien Matériaux'!$A:$A,'Baumaterialien Matériaux'!Y:Y,0,0)</f>
        <v>0.49444000000000005</v>
      </c>
      <c r="M114" s="857">
        <f>$H114*_xlfn.XLOOKUP($G114,'Baumaterialien Matériaux'!$A:$A,'Baumaterialien Matériaux'!AA:AA,0,0)</f>
        <v>3.8822000000000001</v>
      </c>
      <c r="N114" s="857">
        <f>$H114*_xlfn.XLOOKUP($G114,'Baumaterialien Matériaux'!$A:$A,'Baumaterialien Matériaux'!AB:AB,0,0)</f>
        <v>0.11938</v>
      </c>
      <c r="O114" s="857">
        <f>$H114*_xlfn.XLOOKUP($G114,'Baumaterialien Matériaux'!$A:$A,'Baumaterialien Matériaux'!AC:AC,0,0)*44/12</f>
        <v>0</v>
      </c>
      <c r="P114" s="857">
        <f>$H114*_xlfn.XLOOKUP($G114,'Baumaterialien Matériaux'!$A:$A,'Baumaterialien Matériaux'!AG:AG,0,0)</f>
        <v>0</v>
      </c>
      <c r="Q114" s="857">
        <f>$H114*_xlfn.XLOOKUP($G114,'Baumaterialien Matériaux'!$A:$A,'Baumaterialien Matériaux'!AH:AH,0,0)</f>
        <v>0</v>
      </c>
      <c r="R114" s="125"/>
      <c r="S114" s="125"/>
      <c r="T114" s="3"/>
    </row>
    <row r="115" spans="1:21" s="572" customFormat="1" ht="16.5" customHeight="1" thickBot="1">
      <c r="G115" s="1146"/>
      <c r="J115" s="871"/>
      <c r="K115" s="861">
        <f t="shared" ref="K115:L115" si="41">SUM(K112:K114)</f>
        <v>79.285800000000009</v>
      </c>
      <c r="L115" s="861">
        <f t="shared" si="41"/>
        <v>2.83744</v>
      </c>
      <c r="M115" s="861">
        <f>SUM(M112:M114)</f>
        <v>19.872199999999999</v>
      </c>
      <c r="N115" s="861">
        <f t="shared" ref="N115:Q115" si="42">SUM(N112:N114)</f>
        <v>0.67737999999999998</v>
      </c>
      <c r="O115" s="861">
        <f t="shared" si="42"/>
        <v>4.9390000000000001</v>
      </c>
      <c r="P115" s="861">
        <f t="shared" si="42"/>
        <v>0</v>
      </c>
      <c r="Q115" s="861">
        <f t="shared" si="42"/>
        <v>0</v>
      </c>
      <c r="R115" s="1125"/>
      <c r="S115" s="1125"/>
    </row>
    <row r="116" spans="1:21" ht="14.1" customHeight="1" thickTop="1">
      <c r="A116" s="2"/>
      <c r="B116" s="1084"/>
      <c r="C116" s="1131"/>
      <c r="D116" s="974"/>
      <c r="E116" s="1788"/>
      <c r="F116" s="974"/>
      <c r="G116" s="1132"/>
      <c r="H116" s="974"/>
      <c r="I116" s="974"/>
      <c r="J116" s="1133"/>
      <c r="K116" s="1134"/>
      <c r="L116" s="1134"/>
      <c r="M116" s="1134"/>
      <c r="N116" s="1134"/>
      <c r="O116" s="1134"/>
      <c r="P116" s="1134"/>
      <c r="Q116" s="1135"/>
      <c r="R116" s="125"/>
      <c r="S116" s="125"/>
      <c r="T116" s="1088"/>
    </row>
    <row r="117" spans="1:21" s="1095" customFormat="1" ht="14.1" customHeight="1">
      <c r="A117" s="1127" t="s">
        <v>865</v>
      </c>
      <c r="B117" s="1127"/>
      <c r="D117" s="1095" t="str">
        <f>VLOOKUP(G117,'Baumaterialien Matériaux'!$A$10:$AD$432,30,FALSE)</f>
        <v>Plaque de plâtre armé de fibres</v>
      </c>
      <c r="F117" s="1095" t="str">
        <f>_xlfn.XLOOKUP($G117,'Baumaterialien Matériaux'!$A:$A,'Baumaterialien Matériaux'!G:G,0,0)</f>
        <v>kg</v>
      </c>
      <c r="G117" s="1140" t="s">
        <v>808</v>
      </c>
      <c r="H117" s="1095">
        <f>0.0125*1200</f>
        <v>15</v>
      </c>
      <c r="J117" s="1141">
        <v>30</v>
      </c>
      <c r="K117" s="1142">
        <f>$H117*_xlfn.XLOOKUP($G117,'Baumaterialien Matériaux'!$A:$A,'Baumaterialien Matériaux'!V:V,0,0)</f>
        <v>35.85</v>
      </c>
      <c r="L117" s="1142">
        <f>$H117*_xlfn.XLOOKUP($G117,'Baumaterialien Matériaux'!$A:$A,'Baumaterialien Matériaux'!Y:Y,0,0)</f>
        <v>1.1715</v>
      </c>
      <c r="M117" s="1142">
        <f>$H117*_xlfn.XLOOKUP($G117,'Baumaterialien Matériaux'!$A:$A,'Baumaterialien Matériaux'!AA:AA,0,0)</f>
        <v>7.9950000000000001</v>
      </c>
      <c r="N117" s="1142">
        <f>$H117*_xlfn.XLOOKUP($G117,'Baumaterialien Matériaux'!$A:$A,'Baumaterialien Matériaux'!AB:AB,0,0)</f>
        <v>0.27899999999999997</v>
      </c>
      <c r="O117" s="1142">
        <f>$H117*_xlfn.XLOOKUP($G117,'Baumaterialien Matériaux'!$A:$A,'Baumaterialien Matériaux'!AC:AC,0,0)*44/12</f>
        <v>2.4695</v>
      </c>
      <c r="P117" s="1142">
        <f>$H117*_xlfn.XLOOKUP($G117,'Baumaterialien Matériaux'!$A:$A,'Baumaterialien Matériaux'!AG:AG,0,0)</f>
        <v>0</v>
      </c>
      <c r="Q117" s="1142">
        <f>$H117*_xlfn.XLOOKUP($G117,'Baumaterialien Matériaux'!$A:$A,'Baumaterialien Matériaux'!AH:AH,0,0)</f>
        <v>0</v>
      </c>
      <c r="R117" s="1118"/>
      <c r="S117" s="1118"/>
      <c r="T117" s="1119"/>
    </row>
    <row r="118" spans="1:21" ht="14.1" customHeight="1">
      <c r="A118" s="2"/>
      <c r="B118" s="2"/>
      <c r="D118" s="3" t="str">
        <f>VLOOKUP(G118,'Baumaterialien Matériaux'!$A$10:$AD$432,30,FALSE)</f>
        <v>Plaque de plâtre armé de fibres</v>
      </c>
      <c r="F118" s="3" t="str">
        <f>_xlfn.XLOOKUP($G118,'Baumaterialien Matériaux'!$A:$A,'Baumaterialien Matériaux'!G:G,0,0)</f>
        <v>kg</v>
      </c>
      <c r="G118" s="1139" t="s">
        <v>808</v>
      </c>
      <c r="H118" s="3">
        <f>1200*0.025</f>
        <v>30</v>
      </c>
      <c r="J118" s="868">
        <v>30</v>
      </c>
      <c r="K118" s="857">
        <f>$H118*_xlfn.XLOOKUP($G118,'Baumaterialien Matériaux'!$A:$A,'Baumaterialien Matériaux'!V:V,0,0)</f>
        <v>71.7</v>
      </c>
      <c r="L118" s="857">
        <f>$H118*_xlfn.XLOOKUP($G118,'Baumaterialien Matériaux'!$A:$A,'Baumaterialien Matériaux'!Y:Y,0,0)</f>
        <v>2.343</v>
      </c>
      <c r="M118" s="857">
        <f>$H118*_xlfn.XLOOKUP($G118,'Baumaterialien Matériaux'!$A:$A,'Baumaterialien Matériaux'!AA:AA,0,0)</f>
        <v>15.99</v>
      </c>
      <c r="N118" s="857">
        <f>$H118*_xlfn.XLOOKUP($G118,'Baumaterialien Matériaux'!$A:$A,'Baumaterialien Matériaux'!AB:AB,0,0)</f>
        <v>0.55799999999999994</v>
      </c>
      <c r="O118" s="857">
        <f>$H118*_xlfn.XLOOKUP($G118,'Baumaterialien Matériaux'!$A:$A,'Baumaterialien Matériaux'!AC:AC,0,0)*44/12</f>
        <v>4.9390000000000001</v>
      </c>
      <c r="P118" s="857">
        <f>$H118*_xlfn.XLOOKUP($G118,'Baumaterialien Matériaux'!$A:$A,'Baumaterialien Matériaux'!AG:AG,0,0)</f>
        <v>0</v>
      </c>
      <c r="Q118" s="857">
        <f>$H118*_xlfn.XLOOKUP($G118,'Baumaterialien Matériaux'!$A:$A,'Baumaterialien Matériaux'!AH:AH,0,0)</f>
        <v>0</v>
      </c>
      <c r="R118" s="125"/>
      <c r="S118" s="125"/>
      <c r="T118" s="1088"/>
    </row>
    <row r="119" spans="1:21" ht="16.5" customHeight="1">
      <c r="C119" s="3" t="s">
        <v>863</v>
      </c>
      <c r="D119" s="3" t="str">
        <f>VLOOKUP(G119,'Baumaterialien Matériaux'!$A$10:$AD$432,30,FALSE)</f>
        <v>Béton cellulaire</v>
      </c>
      <c r="F119" s="3" t="str">
        <f>VLOOKUP(G119,'Baumaterialien Matériaux'!$A$10:$AD$432,7,FALSE)</f>
        <v>kg</v>
      </c>
      <c r="G119" s="1202" t="s">
        <v>864</v>
      </c>
      <c r="H119" s="3">
        <f>400*0.0235</f>
        <v>9.4</v>
      </c>
      <c r="J119" s="868">
        <v>30</v>
      </c>
      <c r="K119" s="857">
        <f>$H119*_xlfn.XLOOKUP($G119,'Baumaterialien Matériaux'!$A:$A,'Baumaterialien Matériaux'!V:V,0,0)</f>
        <v>7.5858000000000008</v>
      </c>
      <c r="L119" s="857">
        <f>$H119*_xlfn.XLOOKUP($G119,'Baumaterialien Matériaux'!$A:$A,'Baumaterialien Matériaux'!Y:Y,0,0)</f>
        <v>0.49444000000000005</v>
      </c>
      <c r="M119" s="857">
        <f>$H119*_xlfn.XLOOKUP($G119,'Baumaterialien Matériaux'!$A:$A,'Baumaterialien Matériaux'!AA:AA,0,0)</f>
        <v>3.8822000000000001</v>
      </c>
      <c r="N119" s="857">
        <f>$H119*_xlfn.XLOOKUP($G119,'Baumaterialien Matériaux'!$A:$A,'Baumaterialien Matériaux'!AB:AB,0,0)</f>
        <v>0.11938</v>
      </c>
      <c r="O119" s="857">
        <f>$H119*_xlfn.XLOOKUP($G119,'Baumaterialien Matériaux'!$A:$A,'Baumaterialien Matériaux'!AC:AC,0,0)*44/12</f>
        <v>0</v>
      </c>
      <c r="P119" s="857">
        <f>$H119*_xlfn.XLOOKUP($G119,'Baumaterialien Matériaux'!$A:$A,'Baumaterialien Matériaux'!AG:AG,0,0)</f>
        <v>0</v>
      </c>
      <c r="Q119" s="857">
        <f>$H119*_xlfn.XLOOKUP($G119,'Baumaterialien Matériaux'!$A:$A,'Baumaterialien Matériaux'!AH:AH,0,0)</f>
        <v>0</v>
      </c>
      <c r="R119" s="125"/>
      <c r="S119" s="125"/>
      <c r="T119" s="3"/>
    </row>
    <row r="120" spans="1:21" s="572" customFormat="1" ht="14.1" customHeight="1" thickBot="1">
      <c r="A120" s="612"/>
      <c r="B120" s="612"/>
      <c r="G120" s="1196"/>
      <c r="J120" s="871"/>
      <c r="K120" s="861"/>
      <c r="L120" s="861"/>
      <c r="M120" s="861"/>
      <c r="N120" s="861"/>
      <c r="O120" s="861"/>
      <c r="P120" s="861"/>
      <c r="Q120" s="861"/>
      <c r="R120" s="1125"/>
      <c r="S120" s="1125"/>
      <c r="T120" s="1126"/>
    </row>
    <row r="121" spans="1:21" ht="16.5" customHeight="1" thickTop="1">
      <c r="J121" s="868"/>
      <c r="K121" s="857"/>
      <c r="L121" s="857"/>
      <c r="M121" s="857"/>
      <c r="N121" s="857"/>
      <c r="O121" s="857"/>
      <c r="P121" s="857"/>
      <c r="Q121" s="857"/>
    </row>
    <row r="122" spans="1:21" ht="16.5" customHeight="1">
      <c r="J122" s="868"/>
      <c r="K122" s="857"/>
      <c r="L122" s="857"/>
      <c r="M122" s="857"/>
      <c r="N122" s="857"/>
      <c r="O122" s="857"/>
      <c r="P122" s="857"/>
      <c r="Q122" s="857"/>
    </row>
    <row r="123" spans="1:21" s="134" customFormat="1" ht="15.75" customHeight="1">
      <c r="A123" s="132" t="s">
        <v>866</v>
      </c>
      <c r="B123" s="132"/>
      <c r="C123" s="132"/>
      <c r="D123" s="132"/>
      <c r="E123" s="132"/>
      <c r="F123" s="132"/>
      <c r="G123" s="504"/>
      <c r="H123" s="133"/>
      <c r="I123" s="132"/>
      <c r="J123" s="869"/>
      <c r="K123" s="858"/>
      <c r="L123" s="858"/>
      <c r="M123" s="858"/>
      <c r="N123" s="858"/>
      <c r="O123" s="858"/>
      <c r="P123" s="858"/>
      <c r="Q123" s="858"/>
      <c r="R123" s="133"/>
      <c r="S123" s="133"/>
    </row>
    <row r="124" spans="1:21" s="538" customFormat="1" ht="15.75" customHeight="1">
      <c r="A124" s="1056" t="s">
        <v>867</v>
      </c>
      <c r="B124" s="555" t="s">
        <v>868</v>
      </c>
      <c r="C124" s="538" t="s">
        <v>694</v>
      </c>
      <c r="D124" s="538" t="str">
        <f>VLOOKUP(G124,'Baumaterialien Matériaux'!$A$10:$AD$432,30,FALSE)</f>
        <v>Polystyrène expansé (EPS)</v>
      </c>
      <c r="E124" s="1785"/>
      <c r="F124" s="166" t="str">
        <f>_xlfn.XLOOKUP($G124,'Baumaterialien Matériaux'!$A:$A,'Baumaterialien Matériaux'!G:G,0,0)</f>
        <v>kg</v>
      </c>
      <c r="G124" s="520" t="s">
        <v>696</v>
      </c>
      <c r="H124" s="166">
        <f>16*0.02</f>
        <v>0.32</v>
      </c>
      <c r="J124" s="541">
        <v>30</v>
      </c>
      <c r="K124" s="859">
        <f>$H124*_xlfn.XLOOKUP($G124,'Baumaterialien Matériaux'!$A:$A,'Baumaterialien Matériaux'!V:V,0,0)</f>
        <v>9.5359999999999996</v>
      </c>
      <c r="L124" s="859">
        <f>$H124*_xlfn.XLOOKUP($G124,'Baumaterialien Matériaux'!$A:$A,'Baumaterialien Matériaux'!Y:Y,0,0)</f>
        <v>6.4640000000000003E-2</v>
      </c>
      <c r="M124" s="859">
        <f>$H124*_xlfn.XLOOKUP($G124,'Baumaterialien Matériaux'!$A:$A,'Baumaterialien Matériaux'!AA:AA,0,0)</f>
        <v>1.4432</v>
      </c>
      <c r="N124" s="859">
        <f>$H124*_xlfn.XLOOKUP($G124,'Baumaterialien Matériaux'!$A:$A,'Baumaterialien Matériaux'!AB:AB,0,0)</f>
        <v>0.98880000000000001</v>
      </c>
      <c r="O124" s="859">
        <f>$H124*_xlfn.XLOOKUP($G124,'Baumaterialien Matériaux'!$A:$A,'Baumaterialien Matériaux'!AC:AC,0,0)*44/12</f>
        <v>0</v>
      </c>
      <c r="P124" s="859">
        <f>$H124*_xlfn.XLOOKUP($G124,'Baumaterialien Matériaux'!$A:$A,'Baumaterialien Matériaux'!AG:AG,0,0)</f>
        <v>0</v>
      </c>
      <c r="Q124" s="1112">
        <f>$H124*_xlfn.XLOOKUP($G124,'Baumaterialien Matériaux'!$A:$A,'Baumaterialien Matériaux'!AH:AH,0,0)</f>
        <v>0</v>
      </c>
      <c r="R124" s="133"/>
      <c r="S124" s="133"/>
      <c r="T124" s="1098"/>
      <c r="U124" s="570"/>
    </row>
    <row r="125" spans="1:21" s="538" customFormat="1" ht="15.75" customHeight="1">
      <c r="A125" s="540"/>
      <c r="B125" s="555"/>
      <c r="C125" s="538" t="s">
        <v>869</v>
      </c>
      <c r="D125" s="538" t="str">
        <f>VLOOKUP(G125,'Baumaterialien Matériaux'!$A$10:$AD$432,30,FALSE)</f>
        <v>Voile de polyéthylène (PE)</v>
      </c>
      <c r="E125" s="1785"/>
      <c r="F125" s="166" t="str">
        <f>_xlfn.XLOOKUP($G125,'Baumaterialien Matériaux'!$A:$A,'Baumaterialien Matériaux'!G:G,0,0)</f>
        <v>kg</v>
      </c>
      <c r="G125" s="568" t="s">
        <v>600</v>
      </c>
      <c r="H125" s="539">
        <v>0.15</v>
      </c>
      <c r="J125" s="541">
        <v>30</v>
      </c>
      <c r="K125" s="859">
        <f>$H125*_xlfn.XLOOKUP($G125,'Baumaterialien Matériaux'!$A:$A,'Baumaterialien Matériaux'!V:V,0,0)</f>
        <v>3.8549999999999995</v>
      </c>
      <c r="L125" s="859">
        <f>$H125*_xlfn.XLOOKUP($G125,'Baumaterialien Matériaux'!$A:$A,'Baumaterialien Matériaux'!Y:Y,0,0)</f>
        <v>3.1349999999999996E-2</v>
      </c>
      <c r="M125" s="859">
        <f>$H125*_xlfn.XLOOKUP($G125,'Baumaterialien Matériaux'!$A:$A,'Baumaterialien Matériaux'!AA:AA,0,0)</f>
        <v>0.44400000000000001</v>
      </c>
      <c r="N125" s="859">
        <f>$H125*_xlfn.XLOOKUP($G125,'Baumaterialien Matériaux'!$A:$A,'Baumaterialien Matériaux'!AB:AB,0,0)</f>
        <v>0.40049999999999997</v>
      </c>
      <c r="O125" s="859">
        <f>$H125*_xlfn.XLOOKUP($G125,'Baumaterialien Matériaux'!$A:$A,'Baumaterialien Matériaux'!AC:AC,0,0)*44/12</f>
        <v>0</v>
      </c>
      <c r="P125" s="859">
        <f>$H125*_xlfn.XLOOKUP($G125,'Baumaterialien Matériaux'!$A:$A,'Baumaterialien Matériaux'!AG:AG,0,0)</f>
        <v>0</v>
      </c>
      <c r="Q125" s="1112">
        <f>$H125*_xlfn.XLOOKUP($G125,'Baumaterialien Matériaux'!$A:$A,'Baumaterialien Matériaux'!AH:AH,0,0)</f>
        <v>0</v>
      </c>
      <c r="R125" s="133"/>
      <c r="S125" s="133"/>
      <c r="T125" s="1098"/>
      <c r="U125" s="570"/>
    </row>
    <row r="126" spans="1:21" s="575" customFormat="1" ht="15.75" thickBot="1">
      <c r="A126" s="577"/>
      <c r="G126" s="1075"/>
      <c r="Q126" s="1094"/>
      <c r="R126" s="133"/>
      <c r="S126" s="133"/>
      <c r="T126" s="134"/>
      <c r="U126" s="1097"/>
    </row>
    <row r="127" spans="1:21" s="159" customFormat="1" ht="15.75" customHeight="1" thickTop="1">
      <c r="A127" s="606"/>
      <c r="B127" s="606"/>
      <c r="C127" s="606"/>
      <c r="D127" s="606"/>
      <c r="E127" s="606"/>
      <c r="F127" s="606"/>
      <c r="G127" s="1072"/>
      <c r="H127" s="1071"/>
      <c r="I127" s="606"/>
      <c r="J127" s="1073"/>
      <c r="K127" s="1074"/>
      <c r="L127" s="1074"/>
      <c r="M127" s="1074"/>
      <c r="N127" s="1074"/>
      <c r="O127" s="1074"/>
      <c r="P127" s="1074"/>
      <c r="Q127" s="1074"/>
      <c r="R127" s="133"/>
      <c r="S127" s="133"/>
      <c r="T127" s="134"/>
    </row>
    <row r="128" spans="1:21" s="557" customFormat="1" ht="15.75" customHeight="1">
      <c r="A128" s="1056" t="s">
        <v>870</v>
      </c>
      <c r="B128" s="554" t="s">
        <v>871</v>
      </c>
      <c r="C128" s="570" t="s">
        <v>872</v>
      </c>
      <c r="D128" s="538" t="str">
        <f>VLOOKUP(G128,'Baumaterialien Matériaux'!$A$10:$AD$432,30,FALSE)</f>
        <v>Laine de verre</v>
      </c>
      <c r="E128" s="1785"/>
      <c r="F128" s="166" t="str">
        <f>_xlfn.XLOOKUP($G128,'Baumaterialien Matériaux'!$A:$A,'Baumaterialien Matériaux'!G:G,0,0)</f>
        <v>kg</v>
      </c>
      <c r="G128" s="568" t="s">
        <v>704</v>
      </c>
      <c r="H128" s="539">
        <f>0.02*50</f>
        <v>1</v>
      </c>
      <c r="I128" s="538"/>
      <c r="J128" s="541">
        <v>30</v>
      </c>
      <c r="K128" s="859">
        <f>$H128*_xlfn.XLOOKUP($G128,'Baumaterialien Matériaux'!$A:$A,'Baumaterialien Matériaux'!V:V,0,0)</f>
        <v>5.33</v>
      </c>
      <c r="L128" s="859">
        <f>$H128*_xlfn.XLOOKUP($G128,'Baumaterialien Matériaux'!$A:$A,'Baumaterialien Matériaux'!Y:Y,0,0)</f>
        <v>0.13300000000000001</v>
      </c>
      <c r="M128" s="859">
        <f>$H128*_xlfn.XLOOKUP($G128,'Baumaterialien Matériaux'!$A:$A,'Baumaterialien Matériaux'!AA:AA,0,0)</f>
        <v>1.04</v>
      </c>
      <c r="N128" s="859">
        <f>$H128*_xlfn.XLOOKUP($G128,'Baumaterialien Matériaux'!$A:$A,'Baumaterialien Matériaux'!AB:AB,0,0)</f>
        <v>5.9200000000000003E-2</v>
      </c>
      <c r="O128" s="859">
        <f>$H128*_xlfn.XLOOKUP($G128,'Baumaterialien Matériaux'!$A:$A,'Baumaterialien Matériaux'!AC:AC,0,0)*44/12</f>
        <v>0</v>
      </c>
      <c r="P128" s="859">
        <f>$H128*_xlfn.XLOOKUP($G128,'Baumaterialien Matériaux'!$A:$A,'Baumaterialien Matériaux'!AG:AG,0,0)</f>
        <v>0</v>
      </c>
      <c r="Q128" s="1112">
        <f>$H128*_xlfn.XLOOKUP($G128,'Baumaterialien Matériaux'!$A:$A,'Baumaterialien Matériaux'!AH:AH,0,0)</f>
        <v>0</v>
      </c>
      <c r="R128" s="133"/>
      <c r="S128" s="133"/>
      <c r="T128" s="1098"/>
      <c r="U128" s="1056"/>
    </row>
    <row r="129" spans="1:21" s="540" customFormat="1" ht="15.75" customHeight="1">
      <c r="B129" s="559"/>
      <c r="C129" s="570" t="s">
        <v>869</v>
      </c>
      <c r="D129" s="538" t="str">
        <f>VLOOKUP(G129,'Baumaterialien Matériaux'!$A$10:$AD$432,30,FALSE)</f>
        <v>Voile de polyéthylène (PE)</v>
      </c>
      <c r="E129" s="1785"/>
      <c r="F129" s="166" t="str">
        <f>_xlfn.XLOOKUP($G129,'Baumaterialien Matériaux'!$A:$A,'Baumaterialien Matériaux'!G:G,0,0)</f>
        <v>kg</v>
      </c>
      <c r="G129" s="568" t="s">
        <v>600</v>
      </c>
      <c r="H129" s="539">
        <v>0.15</v>
      </c>
      <c r="I129" s="538"/>
      <c r="J129" s="541">
        <v>30</v>
      </c>
      <c r="K129" s="859">
        <f>$H129*_xlfn.XLOOKUP($G129,'Baumaterialien Matériaux'!$A:$A,'Baumaterialien Matériaux'!V:V,0,0)</f>
        <v>3.8549999999999995</v>
      </c>
      <c r="L129" s="859">
        <f>$H129*_xlfn.XLOOKUP($G129,'Baumaterialien Matériaux'!$A:$A,'Baumaterialien Matériaux'!Y:Y,0,0)</f>
        <v>3.1349999999999996E-2</v>
      </c>
      <c r="M129" s="859">
        <f>$H129*_xlfn.XLOOKUP($G129,'Baumaterialien Matériaux'!$A:$A,'Baumaterialien Matériaux'!AA:AA,0,0)</f>
        <v>0.44400000000000001</v>
      </c>
      <c r="N129" s="859">
        <f>$H129*_xlfn.XLOOKUP($G129,'Baumaterialien Matériaux'!$A:$A,'Baumaterialien Matériaux'!AB:AB,0,0)</f>
        <v>0.40049999999999997</v>
      </c>
      <c r="O129" s="859">
        <f>$H129*_xlfn.XLOOKUP($G129,'Baumaterialien Matériaux'!$A:$A,'Baumaterialien Matériaux'!AC:AC,0,0)*44/12</f>
        <v>0</v>
      </c>
      <c r="P129" s="859">
        <f>$H129*_xlfn.XLOOKUP($G129,'Baumaterialien Matériaux'!$A:$A,'Baumaterialien Matériaux'!AG:AG,0,0)</f>
        <v>0</v>
      </c>
      <c r="Q129" s="1112">
        <f>$H129*_xlfn.XLOOKUP($G129,'Baumaterialien Matériaux'!$A:$A,'Baumaterialien Matériaux'!AH:AH,0,0)</f>
        <v>0</v>
      </c>
      <c r="R129" s="133"/>
      <c r="S129" s="133"/>
      <c r="T129" s="1098"/>
    </row>
    <row r="130" spans="1:21" s="577" customFormat="1" ht="16.5" customHeight="1" thickBot="1">
      <c r="B130" s="626"/>
      <c r="G130" s="579"/>
      <c r="H130" s="609"/>
      <c r="J130" s="870">
        <v>30</v>
      </c>
      <c r="K130" s="860">
        <f t="shared" ref="K130:L130" si="43">SUM(K128:K129)</f>
        <v>9.1849999999999987</v>
      </c>
      <c r="L130" s="860">
        <f t="shared" si="43"/>
        <v>0.16435</v>
      </c>
      <c r="M130" s="860">
        <f t="shared" ref="M130:Q130" si="44">SUM(M128:M129)</f>
        <v>1.484</v>
      </c>
      <c r="N130" s="860">
        <f t="shared" si="44"/>
        <v>0.4597</v>
      </c>
      <c r="O130" s="860">
        <f t="shared" si="44"/>
        <v>0</v>
      </c>
      <c r="P130" s="860">
        <f t="shared" si="44"/>
        <v>0</v>
      </c>
      <c r="Q130" s="860">
        <f t="shared" si="44"/>
        <v>0</v>
      </c>
      <c r="R130" s="133"/>
      <c r="S130" s="133"/>
      <c r="T130" s="668"/>
    </row>
    <row r="131" spans="1:21" s="159" customFormat="1" ht="16.5" customHeight="1" thickTop="1">
      <c r="G131" s="604"/>
      <c r="H131" s="605"/>
      <c r="J131" s="260"/>
      <c r="K131" s="1070"/>
      <c r="L131" s="1070"/>
      <c r="M131" s="1070"/>
      <c r="N131" s="1070"/>
      <c r="O131" s="1070"/>
      <c r="P131" s="1070"/>
      <c r="Q131" s="1070"/>
      <c r="R131" s="133"/>
      <c r="S131" s="133"/>
      <c r="T131" s="668"/>
    </row>
    <row r="132" spans="1:21" s="557" customFormat="1" ht="15.75" customHeight="1">
      <c r="A132" s="1056" t="s">
        <v>873</v>
      </c>
      <c r="B132" s="554" t="s">
        <v>874</v>
      </c>
      <c r="C132" s="570" t="s">
        <v>875</v>
      </c>
      <c r="D132" s="538" t="str">
        <f>VLOOKUP(G132,'Baumaterialien Matériaux'!$A$10:$AD$432,30,FALSE)</f>
        <v>Laine de roche</v>
      </c>
      <c r="E132" s="1785"/>
      <c r="F132" s="166" t="str">
        <f>_xlfn.XLOOKUP($G132,'Baumaterialien Matériaux'!$A:$A,'Baumaterialien Matériaux'!G:G,0,0)</f>
        <v>kg</v>
      </c>
      <c r="G132" s="568" t="s">
        <v>699</v>
      </c>
      <c r="H132" s="539">
        <f>0.02*80</f>
        <v>1.6</v>
      </c>
      <c r="I132" s="538"/>
      <c r="J132" s="541">
        <v>30</v>
      </c>
      <c r="K132" s="859">
        <f>$H132*_xlfn.XLOOKUP($G132,'Baumaterialien Matériaux'!$A:$A,'Baumaterialien Matériaux'!V:V,0,0)</f>
        <v>4.9600000000000009</v>
      </c>
      <c r="L132" s="859">
        <f>$H132*_xlfn.XLOOKUP($G132,'Baumaterialien Matériaux'!$A:$A,'Baumaterialien Matériaux'!Y:Y,0,0)</f>
        <v>0.21280000000000002</v>
      </c>
      <c r="M132" s="859">
        <f>$H132*_xlfn.XLOOKUP($G132,'Baumaterialien Matériaux'!$A:$A,'Baumaterialien Matériaux'!AA:AA,0,0)</f>
        <v>1.2112000000000001</v>
      </c>
      <c r="N132" s="859">
        <f>$H132*_xlfn.XLOOKUP($G132,'Baumaterialien Matériaux'!$A:$A,'Baumaterialien Matériaux'!AB:AB,0,0)</f>
        <v>9.4720000000000013E-2</v>
      </c>
      <c r="O132" s="859">
        <f>$H132*_xlfn.XLOOKUP($G132,'Baumaterialien Matériaux'!$A:$A,'Baumaterialien Matériaux'!AC:AC,0,0)*44/12</f>
        <v>0</v>
      </c>
      <c r="P132" s="859">
        <f>$H132*_xlfn.XLOOKUP($G132,'Baumaterialien Matériaux'!$A:$A,'Baumaterialien Matériaux'!AG:AG,0,0)</f>
        <v>0</v>
      </c>
      <c r="Q132" s="1112">
        <f>$H132*_xlfn.XLOOKUP($G132,'Baumaterialien Matériaux'!$A:$A,'Baumaterialien Matériaux'!AH:AH,0,0)</f>
        <v>0</v>
      </c>
      <c r="R132" s="133"/>
      <c r="S132" s="133"/>
      <c r="T132" s="1098"/>
      <c r="U132" s="1056"/>
    </row>
    <row r="133" spans="1:21" s="540" customFormat="1" ht="15.75" customHeight="1">
      <c r="B133" s="559"/>
      <c r="C133" s="570" t="s">
        <v>869</v>
      </c>
      <c r="D133" s="538" t="str">
        <f>VLOOKUP(G133,'Baumaterialien Matériaux'!$A$10:$AD$432,30,FALSE)</f>
        <v>Voile de polyéthylène (PE)</v>
      </c>
      <c r="E133" s="1785"/>
      <c r="F133" s="166" t="str">
        <f>_xlfn.XLOOKUP($G133,'Baumaterialien Matériaux'!$A:$A,'Baumaterialien Matériaux'!G:G,0,0)</f>
        <v>kg</v>
      </c>
      <c r="G133" s="568" t="s">
        <v>600</v>
      </c>
      <c r="H133" s="539">
        <v>0.15</v>
      </c>
      <c r="I133" s="538"/>
      <c r="J133" s="541">
        <v>30</v>
      </c>
      <c r="K133" s="859">
        <f>$H133*_xlfn.XLOOKUP($G133,'Baumaterialien Matériaux'!$A:$A,'Baumaterialien Matériaux'!V:V,0,0)</f>
        <v>3.8549999999999995</v>
      </c>
      <c r="L133" s="859">
        <f>$H133*_xlfn.XLOOKUP($G133,'Baumaterialien Matériaux'!$A:$A,'Baumaterialien Matériaux'!Y:Y,0,0)</f>
        <v>3.1349999999999996E-2</v>
      </c>
      <c r="M133" s="859">
        <f>$H133*_xlfn.XLOOKUP($G133,'Baumaterialien Matériaux'!$A:$A,'Baumaterialien Matériaux'!AA:AA,0,0)</f>
        <v>0.44400000000000001</v>
      </c>
      <c r="N133" s="859">
        <f>$H133*_xlfn.XLOOKUP($G133,'Baumaterialien Matériaux'!$A:$A,'Baumaterialien Matériaux'!AB:AB,0,0)</f>
        <v>0.40049999999999997</v>
      </c>
      <c r="O133" s="859">
        <f>$H133*_xlfn.XLOOKUP($G133,'Baumaterialien Matériaux'!$A:$A,'Baumaterialien Matériaux'!AC:AC,0,0)*44/12</f>
        <v>0</v>
      </c>
      <c r="P133" s="859">
        <f>$H133*_xlfn.XLOOKUP($G133,'Baumaterialien Matériaux'!$A:$A,'Baumaterialien Matériaux'!AG:AG,0,0)</f>
        <v>0</v>
      </c>
      <c r="Q133" s="1112">
        <f>$H133*_xlfn.XLOOKUP($G133,'Baumaterialien Matériaux'!$A:$A,'Baumaterialien Matériaux'!AH:AH,0,0)</f>
        <v>0</v>
      </c>
      <c r="R133" s="133"/>
      <c r="S133" s="133"/>
      <c r="T133" s="1098"/>
    </row>
    <row r="134" spans="1:21" s="577" customFormat="1" ht="16.5" customHeight="1" thickBot="1">
      <c r="B134" s="626"/>
      <c r="G134" s="579"/>
      <c r="H134" s="609"/>
      <c r="J134" s="870">
        <v>30</v>
      </c>
      <c r="K134" s="860">
        <f t="shared" ref="K134:L134" si="45">SUM(K132:K133)</f>
        <v>8.8150000000000013</v>
      </c>
      <c r="L134" s="860">
        <f t="shared" si="45"/>
        <v>0.24415000000000001</v>
      </c>
      <c r="M134" s="860">
        <f t="shared" ref="M134:Q134" si="46">SUM(M132:M133)</f>
        <v>1.6552</v>
      </c>
      <c r="N134" s="860">
        <f t="shared" si="46"/>
        <v>0.49521999999999999</v>
      </c>
      <c r="O134" s="860">
        <f t="shared" si="46"/>
        <v>0</v>
      </c>
      <c r="P134" s="860">
        <f t="shared" si="46"/>
        <v>0</v>
      </c>
      <c r="Q134" s="860">
        <f t="shared" si="46"/>
        <v>0</v>
      </c>
      <c r="R134" s="133"/>
      <c r="S134" s="1190">
        <f>(M134+N134)/J133</f>
        <v>7.168066666666667E-2</v>
      </c>
      <c r="T134" s="668"/>
    </row>
    <row r="135" spans="1:21" s="159" customFormat="1" ht="16.5" customHeight="1" thickTop="1">
      <c r="G135" s="604"/>
      <c r="H135" s="605"/>
      <c r="J135" s="260"/>
      <c r="K135" s="1070"/>
      <c r="L135" s="1070"/>
      <c r="M135" s="1070"/>
      <c r="N135" s="1070"/>
      <c r="O135" s="1070"/>
      <c r="P135" s="1070"/>
      <c r="Q135" s="1070"/>
      <c r="R135" s="133"/>
      <c r="S135" s="133"/>
      <c r="T135" s="668"/>
    </row>
    <row r="136" spans="1:21" s="134" customFormat="1" ht="15.75" customHeight="1">
      <c r="A136" s="132" t="s">
        <v>876</v>
      </c>
      <c r="B136" s="132"/>
      <c r="C136" s="132"/>
      <c r="D136" s="132"/>
      <c r="E136" s="132"/>
      <c r="F136" s="132"/>
      <c r="G136" s="504"/>
      <c r="H136" s="133"/>
      <c r="I136" s="132"/>
      <c r="J136" s="869"/>
      <c r="K136" s="858"/>
      <c r="L136" s="858"/>
      <c r="M136" s="858"/>
      <c r="N136" s="858"/>
      <c r="O136" s="858"/>
      <c r="P136" s="858"/>
      <c r="Q136" s="858"/>
      <c r="R136" s="133"/>
      <c r="S136" s="133"/>
    </row>
    <row r="137" spans="1:21" s="538" customFormat="1" ht="15.75" customHeight="1">
      <c r="A137" s="1056" t="s">
        <v>694</v>
      </c>
      <c r="B137" s="555" t="s">
        <v>868</v>
      </c>
      <c r="C137" s="538" t="s">
        <v>694</v>
      </c>
      <c r="D137" s="538" t="str">
        <f>VLOOKUP(G137,'Baumaterialien Matériaux'!$A$10:$AD$432,30,FALSE)</f>
        <v>Polystyrène expansé (EPS)</v>
      </c>
      <c r="E137" s="1785"/>
      <c r="F137" s="166" t="str">
        <f>_xlfn.XLOOKUP($G137,'Baumaterialien Matériaux'!$A:$A,'Baumaterialien Matériaux'!G:G,0,0)</f>
        <v>kg</v>
      </c>
      <c r="G137" s="520" t="s">
        <v>696</v>
      </c>
      <c r="H137" s="166">
        <f>16*0.2</f>
        <v>3.2</v>
      </c>
      <c r="J137" s="541">
        <v>30</v>
      </c>
      <c r="K137" s="859">
        <f>$H137*_xlfn.XLOOKUP($G137,'Baumaterialien Matériaux'!$A:$A,'Baumaterialien Matériaux'!V:V,0,0)</f>
        <v>95.360000000000014</v>
      </c>
      <c r="L137" s="859">
        <f>$H137*_xlfn.XLOOKUP($G137,'Baumaterialien Matériaux'!$A:$A,'Baumaterialien Matériaux'!Y:Y,0,0)</f>
        <v>0.64640000000000009</v>
      </c>
      <c r="M137" s="859">
        <f>$H137*_xlfn.XLOOKUP($G137,'Baumaterialien Matériaux'!$A:$A,'Baumaterialien Matériaux'!AA:AA,0,0)</f>
        <v>14.432</v>
      </c>
      <c r="N137" s="859">
        <f>$H137*_xlfn.XLOOKUP($G137,'Baumaterialien Matériaux'!$A:$A,'Baumaterialien Matériaux'!AB:AB,0,0)</f>
        <v>9.8879999999999999</v>
      </c>
      <c r="O137" s="859">
        <f>$H137*_xlfn.XLOOKUP($G137,'Baumaterialien Matériaux'!$A:$A,'Baumaterialien Matériaux'!AC:AC,0,0)*44/12</f>
        <v>0</v>
      </c>
      <c r="P137" s="859">
        <f>$H137*_xlfn.XLOOKUP($G137,'Baumaterialien Matériaux'!$A:$A,'Baumaterialien Matériaux'!AG:AG,0,0)</f>
        <v>0</v>
      </c>
      <c r="Q137" s="1112">
        <f>$H137*_xlfn.XLOOKUP($G137,'Baumaterialien Matériaux'!$A:$A,'Baumaterialien Matériaux'!AH:AH,0,0)</f>
        <v>0</v>
      </c>
      <c r="R137" s="133"/>
      <c r="S137" s="133"/>
      <c r="T137" s="1098"/>
      <c r="U137" s="570"/>
    </row>
    <row r="138" spans="1:21" s="538" customFormat="1" ht="15.75" customHeight="1">
      <c r="A138" s="540"/>
      <c r="B138" s="555"/>
      <c r="C138" s="538" t="s">
        <v>869</v>
      </c>
      <c r="D138" s="538" t="str">
        <f>VLOOKUP(G138,'Baumaterialien Matériaux'!$A$10:$AD$432,30,FALSE)</f>
        <v>Voile de polyéthylène (PE)</v>
      </c>
      <c r="E138" s="1785"/>
      <c r="F138" s="166" t="str">
        <f>_xlfn.XLOOKUP($G138,'Baumaterialien Matériaux'!$A:$A,'Baumaterialien Matériaux'!G:G,0,0)</f>
        <v>kg</v>
      </c>
      <c r="G138" s="568" t="s">
        <v>600</v>
      </c>
      <c r="H138" s="539">
        <v>0.15</v>
      </c>
      <c r="J138" s="541">
        <v>30</v>
      </c>
      <c r="K138" s="859">
        <f>$H138*_xlfn.XLOOKUP($G138,'Baumaterialien Matériaux'!$A:$A,'Baumaterialien Matériaux'!V:V,0,0)</f>
        <v>3.8549999999999995</v>
      </c>
      <c r="L138" s="859">
        <f>$H138*_xlfn.XLOOKUP($G138,'Baumaterialien Matériaux'!$A:$A,'Baumaterialien Matériaux'!Y:Y,0,0)</f>
        <v>3.1349999999999996E-2</v>
      </c>
      <c r="M138" s="859">
        <f>$H138*_xlfn.XLOOKUP($G138,'Baumaterialien Matériaux'!$A:$A,'Baumaterialien Matériaux'!AA:AA,0,0)</f>
        <v>0.44400000000000001</v>
      </c>
      <c r="N138" s="859">
        <f>$H138*_xlfn.XLOOKUP($G138,'Baumaterialien Matériaux'!$A:$A,'Baumaterialien Matériaux'!AB:AB,0,0)</f>
        <v>0.40049999999999997</v>
      </c>
      <c r="O138" s="859">
        <f>$H138*_xlfn.XLOOKUP($G138,'Baumaterialien Matériaux'!$A:$A,'Baumaterialien Matériaux'!AC:AC,0,0)*44/12</f>
        <v>0</v>
      </c>
      <c r="P138" s="859">
        <f>$H138*_xlfn.XLOOKUP($G138,'Baumaterialien Matériaux'!$A:$A,'Baumaterialien Matériaux'!AG:AG,0,0)</f>
        <v>0</v>
      </c>
      <c r="Q138" s="1112">
        <f>$H138*_xlfn.XLOOKUP($G138,'Baumaterialien Matériaux'!$A:$A,'Baumaterialien Matériaux'!AH:AH,0,0)</f>
        <v>0</v>
      </c>
      <c r="R138" s="133"/>
      <c r="S138" s="133"/>
      <c r="T138" s="1098"/>
      <c r="U138" s="570"/>
    </row>
    <row r="139" spans="1:21" s="575" customFormat="1" ht="15.75" thickBot="1">
      <c r="A139" s="577"/>
      <c r="G139" s="1075"/>
      <c r="K139" s="860">
        <f t="shared" ref="K139:L139" si="47">SUM(K137:K138)</f>
        <v>99.215000000000018</v>
      </c>
      <c r="L139" s="860">
        <f t="shared" si="47"/>
        <v>0.67775000000000007</v>
      </c>
      <c r="M139" s="860">
        <f t="shared" ref="M139:Q139" si="48">SUM(M137:M138)</f>
        <v>14.876000000000001</v>
      </c>
      <c r="N139" s="860">
        <f t="shared" si="48"/>
        <v>10.288499999999999</v>
      </c>
      <c r="O139" s="860">
        <f t="shared" si="48"/>
        <v>0</v>
      </c>
      <c r="P139" s="860">
        <f t="shared" si="48"/>
        <v>0</v>
      </c>
      <c r="Q139" s="860">
        <f t="shared" si="48"/>
        <v>0</v>
      </c>
      <c r="R139" s="133"/>
      <c r="S139" s="1190">
        <f>(M139+N139)/J138</f>
        <v>0.83881666666666665</v>
      </c>
      <c r="T139" s="668">
        <v>0.25</v>
      </c>
      <c r="U139" s="1097"/>
    </row>
    <row r="140" spans="1:21" s="159" customFormat="1" ht="15.75" customHeight="1" thickTop="1">
      <c r="A140" s="606"/>
      <c r="B140" s="606"/>
      <c r="C140" s="606"/>
      <c r="D140" s="606"/>
      <c r="E140" s="606"/>
      <c r="F140" s="606"/>
      <c r="G140" s="1072"/>
      <c r="H140" s="1071"/>
      <c r="I140" s="606"/>
      <c r="J140" s="1073"/>
      <c r="K140" s="1074"/>
      <c r="L140" s="1074"/>
      <c r="M140" s="1074"/>
      <c r="N140" s="1074"/>
      <c r="O140" s="1074"/>
      <c r="P140" s="1074"/>
      <c r="Q140" s="1074"/>
      <c r="R140" s="133"/>
      <c r="S140" s="133"/>
      <c r="T140" s="134"/>
    </row>
    <row r="141" spans="1:21" s="557" customFormat="1" ht="15.75" customHeight="1">
      <c r="A141" s="1056" t="s">
        <v>702</v>
      </c>
      <c r="B141" s="554" t="s">
        <v>871</v>
      </c>
      <c r="C141" s="570" t="s">
        <v>872</v>
      </c>
      <c r="D141" s="538" t="str">
        <f>VLOOKUP(G141,'Baumaterialien Matériaux'!$A$10:$AD$432,30,FALSE)</f>
        <v>Laine de verre</v>
      </c>
      <c r="E141" s="1785"/>
      <c r="F141" s="166" t="str">
        <f>_xlfn.XLOOKUP($G141,'Baumaterialien Matériaux'!$A:$A,'Baumaterialien Matériaux'!G:G,0,0)</f>
        <v>kg</v>
      </c>
      <c r="G141" s="568" t="s">
        <v>704</v>
      </c>
      <c r="H141" s="539">
        <f>0.2*50</f>
        <v>10</v>
      </c>
      <c r="I141" s="538"/>
      <c r="J141" s="541">
        <v>30</v>
      </c>
      <c r="K141" s="859">
        <f>$H141*_xlfn.XLOOKUP($G141,'Baumaterialien Matériaux'!$A:$A,'Baumaterialien Matériaux'!V:V,0,0)</f>
        <v>53.3</v>
      </c>
      <c r="L141" s="859">
        <f>$H141*_xlfn.XLOOKUP($G141,'Baumaterialien Matériaux'!$A:$A,'Baumaterialien Matériaux'!Y:Y,0,0)</f>
        <v>1.33</v>
      </c>
      <c r="M141" s="859">
        <f>$H141*_xlfn.XLOOKUP($G141,'Baumaterialien Matériaux'!$A:$A,'Baumaterialien Matériaux'!AA:AA,0,0)</f>
        <v>10.4</v>
      </c>
      <c r="N141" s="859">
        <f>$H141*_xlfn.XLOOKUP($G141,'Baumaterialien Matériaux'!$A:$A,'Baumaterialien Matériaux'!AB:AB,0,0)</f>
        <v>0.59200000000000008</v>
      </c>
      <c r="O141" s="859">
        <f>$H141*_xlfn.XLOOKUP($G141,'Baumaterialien Matériaux'!$A:$A,'Baumaterialien Matériaux'!AC:AC,0,0)*44/12</f>
        <v>0</v>
      </c>
      <c r="P141" s="859">
        <f>$H141*_xlfn.XLOOKUP($G141,'Baumaterialien Matériaux'!$A:$A,'Baumaterialien Matériaux'!AG:AG,0,0)</f>
        <v>0</v>
      </c>
      <c r="Q141" s="1112">
        <f>$H141*_xlfn.XLOOKUP($G141,'Baumaterialien Matériaux'!$A:$A,'Baumaterialien Matériaux'!AH:AH,0,0)</f>
        <v>0</v>
      </c>
      <c r="R141" s="133"/>
      <c r="S141" s="133"/>
      <c r="T141" s="1098"/>
      <c r="U141" s="1056"/>
    </row>
    <row r="142" spans="1:21" s="540" customFormat="1" ht="15.75" customHeight="1">
      <c r="B142" s="559"/>
      <c r="C142" s="570" t="s">
        <v>869</v>
      </c>
      <c r="D142" s="538" t="str">
        <f>VLOOKUP(G142,'Baumaterialien Matériaux'!$A$10:$AD$432,30,FALSE)</f>
        <v>Voile de polyéthylène (PE)</v>
      </c>
      <c r="E142" s="1785"/>
      <c r="F142" s="166" t="str">
        <f>_xlfn.XLOOKUP($G142,'Baumaterialien Matériaux'!$A:$A,'Baumaterialien Matériaux'!G:G,0,0)</f>
        <v>kg</v>
      </c>
      <c r="G142" s="568" t="s">
        <v>600</v>
      </c>
      <c r="H142" s="539">
        <v>0.15</v>
      </c>
      <c r="I142" s="538"/>
      <c r="J142" s="541">
        <v>30</v>
      </c>
      <c r="K142" s="859">
        <f>$H142*_xlfn.XLOOKUP($G142,'Baumaterialien Matériaux'!$A:$A,'Baumaterialien Matériaux'!V:V,0,0)</f>
        <v>3.8549999999999995</v>
      </c>
      <c r="L142" s="859">
        <f>$H142*_xlfn.XLOOKUP($G142,'Baumaterialien Matériaux'!$A:$A,'Baumaterialien Matériaux'!Y:Y,0,0)</f>
        <v>3.1349999999999996E-2</v>
      </c>
      <c r="M142" s="859">
        <f>$H142*_xlfn.XLOOKUP($G142,'Baumaterialien Matériaux'!$A:$A,'Baumaterialien Matériaux'!AA:AA,0,0)</f>
        <v>0.44400000000000001</v>
      </c>
      <c r="N142" s="859">
        <f>$H142*_xlfn.XLOOKUP($G142,'Baumaterialien Matériaux'!$A:$A,'Baumaterialien Matériaux'!AB:AB,0,0)</f>
        <v>0.40049999999999997</v>
      </c>
      <c r="O142" s="859">
        <f>$H142*_xlfn.XLOOKUP($G142,'Baumaterialien Matériaux'!$A:$A,'Baumaterialien Matériaux'!AC:AC,0,0)*44/12</f>
        <v>0</v>
      </c>
      <c r="P142" s="859">
        <f>$H142*_xlfn.XLOOKUP($G142,'Baumaterialien Matériaux'!$A:$A,'Baumaterialien Matériaux'!AG:AG,0,0)</f>
        <v>0</v>
      </c>
      <c r="Q142" s="1112">
        <f>$H142*_xlfn.XLOOKUP($G142,'Baumaterialien Matériaux'!$A:$A,'Baumaterialien Matériaux'!AH:AH,0,0)</f>
        <v>0</v>
      </c>
      <c r="R142" s="133"/>
      <c r="S142" s="133"/>
      <c r="T142" s="1098"/>
    </row>
    <row r="143" spans="1:21" s="577" customFormat="1" ht="16.5" customHeight="1" thickBot="1">
      <c r="B143" s="626"/>
      <c r="G143" s="579"/>
      <c r="H143" s="609"/>
      <c r="J143" s="870">
        <v>30</v>
      </c>
      <c r="K143" s="860">
        <f t="shared" ref="K143:L143" si="49">SUM(K141:K142)</f>
        <v>57.154999999999994</v>
      </c>
      <c r="L143" s="860">
        <f t="shared" si="49"/>
        <v>1.3613500000000001</v>
      </c>
      <c r="M143" s="860">
        <f t="shared" ref="M143:O143" si="50">SUM(M141:M142)</f>
        <v>10.844000000000001</v>
      </c>
      <c r="N143" s="860">
        <f t="shared" si="50"/>
        <v>0.99250000000000005</v>
      </c>
      <c r="O143" s="860">
        <f t="shared" si="50"/>
        <v>0</v>
      </c>
      <c r="P143" s="860">
        <f t="shared" ref="P143:Q143" si="51">SUM(P141:P142)</f>
        <v>0</v>
      </c>
      <c r="Q143" s="860">
        <f t="shared" si="51"/>
        <v>0</v>
      </c>
      <c r="R143" s="133"/>
      <c r="S143" s="1190">
        <f>(M143+N143)/J142</f>
        <v>0.39455000000000001</v>
      </c>
      <c r="T143" s="668">
        <v>0.25</v>
      </c>
    </row>
    <row r="144" spans="1:21" s="159" customFormat="1" ht="16.5" customHeight="1" thickTop="1">
      <c r="G144" s="604"/>
      <c r="H144" s="605"/>
      <c r="J144" s="260"/>
      <c r="K144" s="1070"/>
      <c r="L144" s="1070"/>
      <c r="M144" s="1070"/>
      <c r="N144" s="1070"/>
      <c r="O144" s="1070"/>
      <c r="P144" s="1070"/>
      <c r="Q144" s="1070"/>
      <c r="R144" s="133"/>
      <c r="S144" s="133"/>
      <c r="T144" s="668"/>
    </row>
    <row r="145" spans="1:21" s="557" customFormat="1" ht="15.75" customHeight="1">
      <c r="A145" s="1056" t="s">
        <v>697</v>
      </c>
      <c r="B145" s="554" t="s">
        <v>874</v>
      </c>
      <c r="C145" s="570" t="s">
        <v>875</v>
      </c>
      <c r="D145" s="538" t="str">
        <f>VLOOKUP(G145,'Baumaterialien Matériaux'!$A$10:$AD$432,30,FALSE)</f>
        <v>Laine de roche</v>
      </c>
      <c r="E145" s="1785"/>
      <c r="F145" s="166" t="str">
        <f>_xlfn.XLOOKUP($G145,'Baumaterialien Matériaux'!$A:$A,'Baumaterialien Matériaux'!G:G,0,0)</f>
        <v>kg</v>
      </c>
      <c r="G145" s="568" t="s">
        <v>699</v>
      </c>
      <c r="H145" s="539">
        <f>0.22*80</f>
        <v>17.600000000000001</v>
      </c>
      <c r="I145" s="538"/>
      <c r="J145" s="541">
        <v>30</v>
      </c>
      <c r="K145" s="859">
        <f>$H145*_xlfn.XLOOKUP($G145,'Baumaterialien Matériaux'!$A:$A,'Baumaterialien Matériaux'!V:V,0,0)</f>
        <v>54.560000000000009</v>
      </c>
      <c r="L145" s="859">
        <f>$H145*_xlfn.XLOOKUP($G145,'Baumaterialien Matériaux'!$A:$A,'Baumaterialien Matériaux'!Y:Y,0,0)</f>
        <v>2.3408000000000002</v>
      </c>
      <c r="M145" s="859">
        <f>$H145*_xlfn.XLOOKUP($G145,'Baumaterialien Matériaux'!$A:$A,'Baumaterialien Matériaux'!AA:AA,0,0)</f>
        <v>13.323200000000002</v>
      </c>
      <c r="N145" s="859">
        <f>$H145*_xlfn.XLOOKUP($G145,'Baumaterialien Matériaux'!$A:$A,'Baumaterialien Matériaux'!AB:AB,0,0)</f>
        <v>1.0419200000000002</v>
      </c>
      <c r="O145" s="859">
        <f>$H145*_xlfn.XLOOKUP($G145,'Baumaterialien Matériaux'!$A:$A,'Baumaterialien Matériaux'!AC:AC,0,0)*44/12</f>
        <v>0</v>
      </c>
      <c r="P145" s="859">
        <f>$H145*_xlfn.XLOOKUP($G145,'Baumaterialien Matériaux'!$A:$A,'Baumaterialien Matériaux'!AG:AG,0,0)</f>
        <v>0</v>
      </c>
      <c r="Q145" s="1112">
        <f>$H145*_xlfn.XLOOKUP($G145,'Baumaterialien Matériaux'!$A:$A,'Baumaterialien Matériaux'!AH:AH,0,0)</f>
        <v>0</v>
      </c>
      <c r="R145" s="133"/>
      <c r="S145" s="133"/>
      <c r="T145" s="1098"/>
      <c r="U145" s="1056"/>
    </row>
    <row r="146" spans="1:21" s="540" customFormat="1" ht="15.75" customHeight="1">
      <c r="B146" s="559"/>
      <c r="C146" s="570" t="s">
        <v>869</v>
      </c>
      <c r="D146" s="538" t="str">
        <f>VLOOKUP(G146,'Baumaterialien Matériaux'!$A$10:$AD$432,30,FALSE)</f>
        <v>Voile de polyéthylène (PE)</v>
      </c>
      <c r="E146" s="1785"/>
      <c r="F146" s="166" t="str">
        <f>_xlfn.XLOOKUP($G146,'Baumaterialien Matériaux'!$A:$A,'Baumaterialien Matériaux'!G:G,0,0)</f>
        <v>kg</v>
      </c>
      <c r="G146" s="568" t="s">
        <v>600</v>
      </c>
      <c r="H146" s="539">
        <v>0.15</v>
      </c>
      <c r="I146" s="538"/>
      <c r="J146" s="541">
        <v>30</v>
      </c>
      <c r="K146" s="859">
        <f>$H146*_xlfn.XLOOKUP($G146,'Baumaterialien Matériaux'!$A:$A,'Baumaterialien Matériaux'!V:V,0,0)</f>
        <v>3.8549999999999995</v>
      </c>
      <c r="L146" s="859">
        <f>$H146*_xlfn.XLOOKUP($G146,'Baumaterialien Matériaux'!$A:$A,'Baumaterialien Matériaux'!Y:Y,0,0)</f>
        <v>3.1349999999999996E-2</v>
      </c>
      <c r="M146" s="859">
        <f>$H146*_xlfn.XLOOKUP($G146,'Baumaterialien Matériaux'!$A:$A,'Baumaterialien Matériaux'!AA:AA,0,0)</f>
        <v>0.44400000000000001</v>
      </c>
      <c r="N146" s="859">
        <f>$H146*_xlfn.XLOOKUP($G146,'Baumaterialien Matériaux'!$A:$A,'Baumaterialien Matériaux'!AB:AB,0,0)</f>
        <v>0.40049999999999997</v>
      </c>
      <c r="O146" s="859">
        <f>$H146*_xlfn.XLOOKUP($G146,'Baumaterialien Matériaux'!$A:$A,'Baumaterialien Matériaux'!AC:AC,0,0)*44/12</f>
        <v>0</v>
      </c>
      <c r="P146" s="859">
        <f>$H146*_xlfn.XLOOKUP($G146,'Baumaterialien Matériaux'!$A:$A,'Baumaterialien Matériaux'!AG:AG,0,0)</f>
        <v>0</v>
      </c>
      <c r="Q146" s="1112">
        <f>$H146*_xlfn.XLOOKUP($G146,'Baumaterialien Matériaux'!$A:$A,'Baumaterialien Matériaux'!AH:AH,0,0)</f>
        <v>0</v>
      </c>
      <c r="R146" s="133"/>
      <c r="S146" s="133"/>
      <c r="T146" s="1098"/>
    </row>
    <row r="147" spans="1:21" s="577" customFormat="1" ht="16.5" customHeight="1" thickBot="1">
      <c r="B147" s="626"/>
      <c r="G147" s="579"/>
      <c r="H147" s="609"/>
      <c r="J147" s="870">
        <v>30</v>
      </c>
      <c r="K147" s="860">
        <f t="shared" ref="K147:L147" si="52">SUM(K145:K146)</f>
        <v>58.415000000000006</v>
      </c>
      <c r="L147" s="860">
        <f t="shared" si="52"/>
        <v>2.3721500000000004</v>
      </c>
      <c r="M147" s="860">
        <f t="shared" ref="M147:Q147" si="53">SUM(M145:M146)</f>
        <v>13.767200000000003</v>
      </c>
      <c r="N147" s="860">
        <f t="shared" si="53"/>
        <v>1.4424200000000003</v>
      </c>
      <c r="O147" s="860">
        <f t="shared" si="53"/>
        <v>0</v>
      </c>
      <c r="P147" s="860">
        <f t="shared" si="53"/>
        <v>0</v>
      </c>
      <c r="Q147" s="860">
        <f t="shared" si="53"/>
        <v>0</v>
      </c>
      <c r="R147" s="133"/>
      <c r="S147" s="1190">
        <f>(M147+N147)/J146</f>
        <v>0.50698733333333346</v>
      </c>
      <c r="T147" s="668">
        <v>0.25</v>
      </c>
    </row>
    <row r="148" spans="1:21" s="159" customFormat="1" ht="16.5" customHeight="1" thickTop="1">
      <c r="G148" s="604"/>
      <c r="H148" s="605"/>
      <c r="J148" s="260"/>
      <c r="K148" s="1070"/>
      <c r="L148" s="1070"/>
      <c r="M148" s="1070"/>
      <c r="N148" s="1070"/>
      <c r="O148" s="1070"/>
      <c r="P148" s="1070"/>
      <c r="Q148" s="1070"/>
      <c r="R148" s="133"/>
      <c r="S148" s="133"/>
      <c r="T148" s="668"/>
    </row>
    <row r="149" spans="1:21" s="134" customFormat="1" ht="15.75" customHeight="1">
      <c r="A149" s="132" t="s">
        <v>460</v>
      </c>
      <c r="B149" s="132"/>
      <c r="C149" s="132"/>
      <c r="D149" s="132"/>
      <c r="E149" s="132"/>
      <c r="F149" s="132"/>
      <c r="G149" s="504"/>
      <c r="H149" s="133"/>
      <c r="I149" s="132"/>
      <c r="J149" s="869"/>
      <c r="K149" s="858"/>
      <c r="L149" s="858"/>
      <c r="M149" s="858"/>
      <c r="N149" s="858"/>
      <c r="O149" s="858"/>
      <c r="P149" s="858"/>
      <c r="Q149" s="858"/>
      <c r="R149" s="133"/>
      <c r="S149" s="133"/>
    </row>
    <row r="150" spans="1:21" s="1056" customFormat="1" ht="14.25">
      <c r="A150" s="1067" t="s">
        <v>877</v>
      </c>
      <c r="B150" s="1932" t="s">
        <v>574</v>
      </c>
      <c r="C150" s="538" t="s">
        <v>575</v>
      </c>
      <c r="D150" s="538" t="str">
        <f>VLOOKUP(G150,'Baumaterialien Matériaux'!$A$10:$AD$432,30,FALSE)</f>
        <v>Émulsion de bitume, 1 couche</v>
      </c>
      <c r="E150" s="1785"/>
      <c r="F150" s="538" t="str">
        <f>VLOOKUP(G150,'Baumaterialien Matériaux'!$A$10:$AD$432,7,FALSE)</f>
        <v>m2</v>
      </c>
      <c r="G150" s="1068" t="s">
        <v>576</v>
      </c>
      <c r="H150" s="955">
        <v>2</v>
      </c>
      <c r="I150" s="539"/>
      <c r="J150" s="538">
        <v>60</v>
      </c>
      <c r="K150" s="879">
        <f>$H150*_xlfn.XLOOKUP($G150,'Baumaterialien Matériaux'!$A:$A,'Baumaterialien Matériaux'!V:V,0,0)</f>
        <v>3.68</v>
      </c>
      <c r="L150" s="879">
        <f>$H150*_xlfn.XLOOKUP($G150,'Baumaterialien Matériaux'!$A:$A,'Baumaterialien Matériaux'!Y:Y,0,0)</f>
        <v>2.8000000000000001E-2</v>
      </c>
      <c r="M150" s="879">
        <f>$H150*_xlfn.XLOOKUP($G150,'Baumaterialien Matériaux'!$A:$A,'Baumaterialien Matériaux'!AA:AA,0,0)</f>
        <v>0.26800000000000002</v>
      </c>
      <c r="N150" s="879">
        <f>$H150*_xlfn.XLOOKUP($G150,'Baumaterialien Matériaux'!$A:$A,'Baumaterialien Matériaux'!AB:AB,0,0)</f>
        <v>9.3600000000000003E-2</v>
      </c>
      <c r="O150" s="879">
        <f>$H150*_xlfn.XLOOKUP($G150,'Baumaterialien Matériaux'!$A:$A,'Baumaterialien Matériaux'!AC:AC,0,0)*44/12</f>
        <v>0</v>
      </c>
      <c r="P150" s="879">
        <f>$H150*_xlfn.XLOOKUP($G150,'Baumaterialien Matériaux'!$A:$A,'Baumaterialien Matériaux'!AG:AG,0,0)</f>
        <v>0</v>
      </c>
      <c r="Q150" s="1113">
        <f>$H150*_xlfn.XLOOKUP($G150,'Baumaterialien Matériaux'!$A:$A,'Baumaterialien Matériaux'!AH:AH,0,0)</f>
        <v>0</v>
      </c>
      <c r="R150" s="134"/>
      <c r="S150" s="134"/>
      <c r="T150" s="134"/>
    </row>
    <row r="151" spans="1:21" s="540" customFormat="1" ht="14.25">
      <c r="A151" s="796"/>
      <c r="B151" s="1933"/>
      <c r="C151" s="538" t="s">
        <v>577</v>
      </c>
      <c r="D151" s="538" t="str">
        <f>VLOOKUP(G151,'Baumaterialien Matériaux'!$A$10:$AD$432,30,FALSE)</f>
        <v>Polyéthylène (HDPE)</v>
      </c>
      <c r="E151" s="1785"/>
      <c r="F151" s="538" t="str">
        <f>VLOOKUP(G151,'Baumaterialien Matériaux'!$A$10:$AD$432,7,FALSE)</f>
        <v>kg</v>
      </c>
      <c r="G151" s="563" t="s">
        <v>578</v>
      </c>
      <c r="H151" s="955">
        <v>2.5</v>
      </c>
      <c r="I151" s="539"/>
      <c r="J151" s="538">
        <v>60</v>
      </c>
      <c r="K151" s="879">
        <f>$H151*_xlfn.XLOOKUP($G151,'Baumaterialien Matériaux'!$A:$A,'Baumaterialien Matériaux'!V:V,0,0)</f>
        <v>57.5</v>
      </c>
      <c r="L151" s="879">
        <f>$H151*_xlfn.XLOOKUP($G151,'Baumaterialien Matériaux'!$A:$A,'Baumaterialien Matériaux'!Y:Y,0,0)</f>
        <v>0.52249999999999996</v>
      </c>
      <c r="M151" s="879">
        <f>$H151*_xlfn.XLOOKUP($G151,'Baumaterialien Matériaux'!$A:$A,'Baumaterialien Matériaux'!AA:AA,0,0)</f>
        <v>5.9499999999999993</v>
      </c>
      <c r="N151" s="879">
        <f>$H151*_xlfn.XLOOKUP($G151,'Baumaterialien Matériaux'!$A:$A,'Baumaterialien Matériaux'!AB:AB,0,0)</f>
        <v>5.9250000000000007</v>
      </c>
      <c r="O151" s="879">
        <f>$H151*_xlfn.XLOOKUP($G151,'Baumaterialien Matériaux'!$A:$A,'Baumaterialien Matériaux'!AC:AC,0,0)*44/12</f>
        <v>0</v>
      </c>
      <c r="P151" s="879">
        <f>$H151*_xlfn.XLOOKUP($G151,'Baumaterialien Matériaux'!$A:$A,'Baumaterialien Matériaux'!AG:AG,0,0)</f>
        <v>0</v>
      </c>
      <c r="Q151" s="1113">
        <f>$H151*_xlfn.XLOOKUP($G151,'Baumaterialien Matériaux'!$A:$A,'Baumaterialien Matériaux'!AH:AH,0,0)</f>
        <v>0</v>
      </c>
      <c r="R151" s="134"/>
      <c r="S151" s="134"/>
      <c r="T151" s="134"/>
    </row>
    <row r="152" spans="1:21" s="540" customFormat="1" ht="14.25">
      <c r="A152" s="796"/>
      <c r="B152" s="939" t="s">
        <v>579</v>
      </c>
      <c r="C152" s="538" t="s">
        <v>580</v>
      </c>
      <c r="D152" s="538" t="str">
        <f>VLOOKUP(G152,'Baumaterialien Matériaux'!$A$10:$AD$432,30,FALSE)</f>
        <v>Polystyrène extrudé (XPS)</v>
      </c>
      <c r="E152" s="1785"/>
      <c r="F152" s="538" t="str">
        <f>VLOOKUP(G152,'Baumaterialien Matériaux'!$A$10:$AD$432,7,FALSE)</f>
        <v>kg</v>
      </c>
      <c r="G152" s="538" t="s">
        <v>581</v>
      </c>
      <c r="H152" s="955">
        <f>33*0.2</f>
        <v>6.6000000000000005</v>
      </c>
      <c r="I152" s="539"/>
      <c r="J152" s="556">
        <v>60</v>
      </c>
      <c r="K152" s="882">
        <f>$H152*_xlfn.XLOOKUP($G152,'Baumaterialien Matériaux'!$A:$A,'Baumaterialien Matériaux'!V:V,0,0)</f>
        <v>192.72</v>
      </c>
      <c r="L152" s="882">
        <f>$H152*_xlfn.XLOOKUP($G152,'Baumaterialien Matériaux'!$A:$A,'Baumaterialien Matériaux'!Y:Y,0,0)</f>
        <v>1.3332000000000002</v>
      </c>
      <c r="M152" s="882">
        <f>$H152*_xlfn.XLOOKUP($G152,'Baumaterialien Matériaux'!$A:$A,'Baumaterialien Matériaux'!AA:AA,0,0)</f>
        <v>74.580000000000013</v>
      </c>
      <c r="N152" s="882">
        <f>$H152*_xlfn.XLOOKUP($G152,'Baumaterialien Matériaux'!$A:$A,'Baumaterialien Matériaux'!AB:AB,0,0)</f>
        <v>20.394000000000002</v>
      </c>
      <c r="O152" s="882">
        <f>$H152*_xlfn.XLOOKUP($G152,'Baumaterialien Matériaux'!$A:$A,'Baumaterialien Matériaux'!AC:AC,0,0)*44/12</f>
        <v>0</v>
      </c>
      <c r="P152" s="882">
        <f>$H152*_xlfn.XLOOKUP($G152,'Baumaterialien Matériaux'!$A:$A,'Baumaterialien Matériaux'!AG:AG,0,0)</f>
        <v>0</v>
      </c>
      <c r="Q152" s="882">
        <f>$H152*_xlfn.XLOOKUP($G152,'Baumaterialien Matériaux'!$A:$A,'Baumaterialien Matériaux'!AH:AH,0,0)</f>
        <v>0</v>
      </c>
      <c r="R152" s="134"/>
      <c r="S152" s="134"/>
      <c r="T152" s="134"/>
    </row>
    <row r="153" spans="1:21" s="577" customFormat="1" ht="15.75" thickBot="1">
      <c r="B153" s="648"/>
      <c r="H153" s="1069"/>
      <c r="I153" s="609"/>
      <c r="K153" s="860">
        <f t="shared" ref="K153:L153" si="54">SUM(K150:K152)</f>
        <v>253.9</v>
      </c>
      <c r="L153" s="860">
        <f t="shared" si="54"/>
        <v>1.8837000000000002</v>
      </c>
      <c r="M153" s="860">
        <f>SUM(M150:M152)</f>
        <v>80.798000000000016</v>
      </c>
      <c r="N153" s="860">
        <f>SUM(N150:N152)</f>
        <v>26.412600000000005</v>
      </c>
      <c r="O153" s="860">
        <f>SUM(O150:O152)</f>
        <v>0</v>
      </c>
      <c r="P153" s="860">
        <f>SUM(P150:P152)</f>
        <v>0</v>
      </c>
      <c r="Q153" s="860">
        <f>SUM(Q150:Q152)</f>
        <v>0</v>
      </c>
      <c r="R153" s="134"/>
      <c r="S153" s="1190">
        <f>(M153+N153)/J152</f>
        <v>1.7868433333333338</v>
      </c>
      <c r="T153" s="134"/>
    </row>
    <row r="154" spans="1:21" s="159" customFormat="1" thickTop="1">
      <c r="B154" s="1064"/>
      <c r="H154" s="1065"/>
      <c r="I154" s="605"/>
      <c r="K154" s="1066"/>
      <c r="L154" s="1066"/>
      <c r="M154" s="1066"/>
      <c r="N154" s="1066"/>
      <c r="O154" s="1066"/>
      <c r="P154" s="1066"/>
      <c r="Q154" s="1066"/>
      <c r="R154" s="134"/>
      <c r="S154" s="134"/>
      <c r="T154" s="134"/>
    </row>
    <row r="155" spans="1:21" s="134" customFormat="1" ht="15.75" customHeight="1">
      <c r="A155" s="132" t="s">
        <v>462</v>
      </c>
      <c r="B155" s="132" t="str">
        <f>'Outil détaillé'!D53</f>
        <v>Revêtement intérieurs parois</v>
      </c>
      <c r="C155" s="132"/>
      <c r="D155" s="132"/>
      <c r="E155" s="132"/>
      <c r="F155" s="132"/>
      <c r="G155" s="504"/>
      <c r="H155" s="133"/>
      <c r="I155" s="132"/>
      <c r="J155" s="869"/>
      <c r="K155" s="858"/>
      <c r="L155" s="858"/>
      <c r="M155" s="858"/>
      <c r="N155" s="858"/>
      <c r="O155" s="858"/>
      <c r="P155" s="858"/>
      <c r="Q155" s="858"/>
      <c r="R155" s="133"/>
      <c r="S155" s="133"/>
    </row>
    <row r="156" spans="1:21" s="557" customFormat="1" ht="15.75" customHeight="1">
      <c r="A156" s="1056" t="s">
        <v>878</v>
      </c>
      <c r="B156" s="1934" t="s">
        <v>879</v>
      </c>
      <c r="C156" s="570" t="s">
        <v>880</v>
      </c>
      <c r="D156" s="538" t="str">
        <f>VLOOKUP(G156,'Baumaterialien Matériaux'!$A$10:$AD$432,30,FALSE)</f>
        <v>Enduit en plâtre et en ciment</v>
      </c>
      <c r="E156" s="1785"/>
      <c r="F156" s="166" t="str">
        <f>_xlfn.XLOOKUP($G156,'Baumaterialien Matériaux'!$A:$A,'Baumaterialien Matériaux'!G:G,0,0)</f>
        <v>kg</v>
      </c>
      <c r="G156" s="567" t="s">
        <v>645</v>
      </c>
      <c r="H156" s="539">
        <f>2*18</f>
        <v>36</v>
      </c>
      <c r="I156" s="538"/>
      <c r="J156" s="541">
        <v>30</v>
      </c>
      <c r="K156" s="859">
        <f>$H156*_xlfn.XLOOKUP($G156,'Baumaterialien Matériaux'!$A:$A,'Baumaterialien Matériaux'!V:V,0,0)</f>
        <v>23.832000000000001</v>
      </c>
      <c r="L156" s="859">
        <f>$H156*_xlfn.XLOOKUP($G156,'Baumaterialien Matériaux'!$A:$A,'Baumaterialien Matériaux'!Y:Y,0,0)</f>
        <v>1.8864000000000001</v>
      </c>
      <c r="M156" s="859">
        <f>$H156*_xlfn.XLOOKUP($G156,'Baumaterialien Matériaux'!$A:$A,'Baumaterialien Matériaux'!AA:AA,0,0)</f>
        <v>9.0359999999999996</v>
      </c>
      <c r="N156" s="859">
        <f>$H156*_xlfn.XLOOKUP($G156,'Baumaterialien Matériaux'!$A:$A,'Baumaterialien Matériaux'!AB:AB,0,0)</f>
        <v>0.4572</v>
      </c>
      <c r="O156" s="859">
        <f>$H156*_xlfn.XLOOKUP($G156,'Baumaterialien Matériaux'!$A:$A,'Baumaterialien Matériaux'!AC:AC,0,0)*44/12</f>
        <v>0</v>
      </c>
      <c r="P156" s="859">
        <f>$H156*_xlfn.XLOOKUP($G156,'Baumaterialien Matériaux'!$A:$A,'Baumaterialien Matériaux'!AG:AG,0,0)</f>
        <v>0</v>
      </c>
      <c r="Q156" s="1112">
        <f>$H156*_xlfn.XLOOKUP($G156,'Baumaterialien Matériaux'!$A:$A,'Baumaterialien Matériaux'!AH:AH,0,0)</f>
        <v>0</v>
      </c>
      <c r="R156" s="133"/>
      <c r="S156" s="133"/>
      <c r="T156" s="1910"/>
      <c r="U156" s="1056"/>
    </row>
    <row r="157" spans="1:21" s="540" customFormat="1" ht="15.75" customHeight="1">
      <c r="B157" s="1934"/>
      <c r="C157" s="570" t="s">
        <v>881</v>
      </c>
      <c r="D157" s="538" t="str">
        <f>VLOOKUP(G157,'Baumaterialien Matériaux'!$A$10:$AD$432,30,FALSE)</f>
        <v>Enduit minéral</v>
      </c>
      <c r="E157" s="1785"/>
      <c r="F157" s="166" t="str">
        <f>_xlfn.XLOOKUP($G157,'Baumaterialien Matériaux'!$A:$A,'Baumaterialien Matériaux'!G:G,0,0)</f>
        <v>kg</v>
      </c>
      <c r="G157" s="568" t="s">
        <v>882</v>
      </c>
      <c r="H157" s="539">
        <f>2*3.5</f>
        <v>7</v>
      </c>
      <c r="I157" s="538"/>
      <c r="J157" s="541">
        <v>30</v>
      </c>
      <c r="K157" s="859">
        <f>$H157*_xlfn.XLOOKUP($G157,'Baumaterialien Matériaux'!$A:$A,'Baumaterialien Matériaux'!V:V,0,0)</f>
        <v>4.3959999999999999</v>
      </c>
      <c r="L157" s="859">
        <f>$H157*_xlfn.XLOOKUP($G157,'Baumaterialien Matériaux'!$A:$A,'Baumaterialien Matériaux'!Y:Y,0,0)</f>
        <v>0.36680000000000001</v>
      </c>
      <c r="M157" s="859">
        <f>$H157*_xlfn.XLOOKUP($G157,'Baumaterialien Matériaux'!$A:$A,'Baumaterialien Matériaux'!AA:AA,0,0)</f>
        <v>0.96600000000000008</v>
      </c>
      <c r="N157" s="859">
        <f>$H157*_xlfn.XLOOKUP($G157,'Baumaterialien Matériaux'!$A:$A,'Baumaterialien Matériaux'!AB:AB,0,0)</f>
        <v>8.8899999999999993E-2</v>
      </c>
      <c r="O157" s="859">
        <f>$H157*_xlfn.XLOOKUP($G157,'Baumaterialien Matériaux'!$A:$A,'Baumaterialien Matériaux'!AC:AC,0,0)*44/12</f>
        <v>0</v>
      </c>
      <c r="P157" s="859">
        <f>$H157*_xlfn.XLOOKUP($G157,'Baumaterialien Matériaux'!$A:$A,'Baumaterialien Matériaux'!AG:AG,0,0)</f>
        <v>0</v>
      </c>
      <c r="Q157" s="1112">
        <f>$H157*_xlfn.XLOOKUP($G157,'Baumaterialien Matériaux'!$A:$A,'Baumaterialien Matériaux'!AH:AH,0,0)</f>
        <v>0</v>
      </c>
      <c r="R157" s="133"/>
      <c r="S157" s="133"/>
      <c r="T157" s="1910"/>
    </row>
    <row r="158" spans="1:21" s="540" customFormat="1" ht="15.75" customHeight="1">
      <c r="B158" s="1934"/>
      <c r="C158" s="570" t="s">
        <v>883</v>
      </c>
      <c r="D158" s="538" t="str">
        <f>VLOOKUP(G158,'Baumaterialien Matériaux'!$A$10:$AD$432,30,FALSE)</f>
        <v>Enduit, diluable à l'eau, 2 couches</v>
      </c>
      <c r="E158" s="1785"/>
      <c r="F158" s="166" t="str">
        <f>_xlfn.XLOOKUP($G158,'Baumaterialien Matériaux'!$A:$A,'Baumaterialien Matériaux'!G:G,0,0)</f>
        <v>m2</v>
      </c>
      <c r="G158" s="569" t="s">
        <v>647</v>
      </c>
      <c r="H158" s="539">
        <f>2*1</f>
        <v>2</v>
      </c>
      <c r="I158" s="538"/>
      <c r="J158" s="541">
        <v>30</v>
      </c>
      <c r="K158" s="859">
        <f>$H158*_xlfn.XLOOKUP($G158,'Baumaterialien Matériaux'!$A:$A,'Baumaterialien Matériaux'!V:V,0,0)</f>
        <v>8.3000000000000007</v>
      </c>
      <c r="L158" s="859">
        <f>$H158*_xlfn.XLOOKUP($G158,'Baumaterialien Matériaux'!$A:$A,'Baumaterialien Matériaux'!Y:Y,0,0)</f>
        <v>3.3399999999999999E-2</v>
      </c>
      <c r="M158" s="859">
        <f>$H158*_xlfn.XLOOKUP($G158,'Baumaterialien Matériaux'!$A:$A,'Baumaterialien Matériaux'!AA:AA,0,0)</f>
        <v>1.29</v>
      </c>
      <c r="N158" s="859">
        <f>$H158*_xlfn.XLOOKUP($G158,'Baumaterialien Matériaux'!$A:$A,'Baumaterialien Matériaux'!AB:AB,0,0)</f>
        <v>0.1124</v>
      </c>
      <c r="O158" s="859">
        <f>$H158*_xlfn.XLOOKUP($G158,'Baumaterialien Matériaux'!$A:$A,'Baumaterialien Matériaux'!AC:AC,0,0)*44/12</f>
        <v>0</v>
      </c>
      <c r="P158" s="859">
        <f>$H158*_xlfn.XLOOKUP($G158,'Baumaterialien Matériaux'!$A:$A,'Baumaterialien Matériaux'!AG:AG,0,0)</f>
        <v>0</v>
      </c>
      <c r="Q158" s="1112">
        <f>$H158*_xlfn.XLOOKUP($G158,'Baumaterialien Matériaux'!$A:$A,'Baumaterialien Matériaux'!AH:AH,0,0)</f>
        <v>0</v>
      </c>
      <c r="R158" s="133"/>
      <c r="S158" s="133"/>
      <c r="T158" s="1910"/>
    </row>
    <row r="159" spans="1:21" s="577" customFormat="1" ht="16.5" customHeight="1" thickBot="1">
      <c r="B159" s="655"/>
      <c r="G159" s="579"/>
      <c r="J159" s="870">
        <v>30</v>
      </c>
      <c r="K159" s="860">
        <f t="shared" ref="K159:L159" si="55">SUM(K156:K158)</f>
        <v>36.528000000000006</v>
      </c>
      <c r="L159" s="860">
        <f t="shared" si="55"/>
        <v>2.2866</v>
      </c>
      <c r="M159" s="860">
        <f>SUM(M156:M158)</f>
        <v>11.291999999999998</v>
      </c>
      <c r="N159" s="860">
        <f>SUM(N156:N158)</f>
        <v>0.65850000000000009</v>
      </c>
      <c r="O159" s="860">
        <f>SUM(O156:O158)</f>
        <v>0</v>
      </c>
      <c r="P159" s="860">
        <f>SUM(P156:P158)</f>
        <v>0</v>
      </c>
      <c r="Q159" s="860">
        <f>SUM(Q156:Q158)</f>
        <v>0</v>
      </c>
      <c r="R159" s="133"/>
      <c r="S159" s="1190">
        <f>(M159+N159)/J158</f>
        <v>0.39834999999999993</v>
      </c>
      <c r="T159" s="805"/>
    </row>
    <row r="160" spans="1:21" ht="16.5" customHeight="1" thickTop="1">
      <c r="B160" s="2"/>
      <c r="J160" s="868"/>
      <c r="K160" s="857"/>
      <c r="L160" s="857"/>
      <c r="M160" s="857"/>
      <c r="N160" s="857"/>
      <c r="O160" s="857"/>
      <c r="P160" s="857"/>
      <c r="Q160" s="857"/>
    </row>
    <row r="161" spans="1:21" s="557" customFormat="1" ht="15.75" customHeight="1">
      <c r="A161" s="560" t="s">
        <v>884</v>
      </c>
      <c r="B161" s="1936" t="s">
        <v>885</v>
      </c>
      <c r="C161" s="570" t="s">
        <v>886</v>
      </c>
      <c r="D161" s="538" t="str">
        <f>VLOOKUP(G161,'Baumaterialien Matériaux'!$A$10:$AD$432,30,FALSE)</f>
        <v>Enduit en plâtre et chaux</v>
      </c>
      <c r="E161" s="1785"/>
      <c r="F161" s="166" t="str">
        <f>_xlfn.XLOOKUP($G161,'Baumaterialien Matériaux'!$A:$A,'Baumaterialien Matériaux'!G:G,0,0)</f>
        <v>kg</v>
      </c>
      <c r="G161" s="567" t="s">
        <v>887</v>
      </c>
      <c r="H161" s="539">
        <f>2*1400*0.004</f>
        <v>11.200000000000001</v>
      </c>
      <c r="I161" s="538"/>
      <c r="J161" s="541">
        <v>30</v>
      </c>
      <c r="K161" s="859">
        <f>$H161*_xlfn.XLOOKUP($G161,'Baumaterialien Matériaux'!$A:$A,'Baumaterialien Matériaux'!V:V,0,0)</f>
        <v>6.966400000000001</v>
      </c>
      <c r="L161" s="859">
        <f>$H161*_xlfn.XLOOKUP($G161,'Baumaterialien Matériaux'!$A:$A,'Baumaterialien Matériaux'!Y:Y,0,0)</f>
        <v>0.58688000000000007</v>
      </c>
      <c r="M161" s="859">
        <f>$H161*_xlfn.XLOOKUP($G161,'Baumaterialien Matériaux'!$A:$A,'Baumaterialien Matériaux'!AA:AA,0,0)</f>
        <v>1.6240000000000001</v>
      </c>
      <c r="N161" s="859">
        <f>$H161*_xlfn.XLOOKUP($G161,'Baumaterialien Matériaux'!$A:$A,'Baumaterialien Matériaux'!AB:AB,0,0)</f>
        <v>0.14224000000000001</v>
      </c>
      <c r="O161" s="859">
        <f>$H161*_xlfn.XLOOKUP($G161,'Baumaterialien Matériaux'!$A:$A,'Baumaterialien Matériaux'!AC:AC,0,0)*44/12</f>
        <v>0</v>
      </c>
      <c r="P161" s="859">
        <f>$H161*_xlfn.XLOOKUP($G161,'Baumaterialien Matériaux'!$A:$A,'Baumaterialien Matériaux'!AG:AG,0,0)</f>
        <v>0</v>
      </c>
      <c r="Q161" s="1112">
        <f>$H161*_xlfn.XLOOKUP($G161,'Baumaterialien Matériaux'!$A:$A,'Baumaterialien Matériaux'!AH:AH,0,0)</f>
        <v>0</v>
      </c>
      <c r="R161" s="133"/>
      <c r="S161" s="133"/>
      <c r="T161" s="1911"/>
      <c r="U161" s="1056"/>
    </row>
    <row r="162" spans="1:21" s="540" customFormat="1" ht="15.75" customHeight="1">
      <c r="B162" s="1947"/>
      <c r="C162" s="570" t="s">
        <v>883</v>
      </c>
      <c r="D162" s="538" t="str">
        <f>VLOOKUP(G162,'Baumaterialien Matériaux'!$A$10:$AD$432,30,FALSE)</f>
        <v>Enduit, diluable à l'eau, 2 couches</v>
      </c>
      <c r="E162" s="1785"/>
      <c r="F162" s="166" t="str">
        <f>_xlfn.XLOOKUP($G162,'Baumaterialien Matériaux'!$A:$A,'Baumaterialien Matériaux'!G:G,0,0)</f>
        <v>m2</v>
      </c>
      <c r="G162" s="569" t="s">
        <v>647</v>
      </c>
      <c r="H162" s="539">
        <f>2*1</f>
        <v>2</v>
      </c>
      <c r="I162" s="538"/>
      <c r="J162" s="541">
        <v>30</v>
      </c>
      <c r="K162" s="859">
        <f>$H162*_xlfn.XLOOKUP($G162,'Baumaterialien Matériaux'!$A:$A,'Baumaterialien Matériaux'!V:V,0,0)</f>
        <v>8.3000000000000007</v>
      </c>
      <c r="L162" s="859">
        <f>$H162*_xlfn.XLOOKUP($G162,'Baumaterialien Matériaux'!$A:$A,'Baumaterialien Matériaux'!Y:Y,0,0)</f>
        <v>3.3399999999999999E-2</v>
      </c>
      <c r="M162" s="859">
        <f>$H162*_xlfn.XLOOKUP($G162,'Baumaterialien Matériaux'!$A:$A,'Baumaterialien Matériaux'!AA:AA,0,0)</f>
        <v>1.29</v>
      </c>
      <c r="N162" s="859">
        <f>$H162*_xlfn.XLOOKUP($G162,'Baumaterialien Matériaux'!$A:$A,'Baumaterialien Matériaux'!AB:AB,0,0)</f>
        <v>0.1124</v>
      </c>
      <c r="O162" s="859">
        <f>$H162*_xlfn.XLOOKUP($G162,'Baumaterialien Matériaux'!$A:$A,'Baumaterialien Matériaux'!AC:AC,0,0)*44/12</f>
        <v>0</v>
      </c>
      <c r="P162" s="859">
        <f>$H162*_xlfn.XLOOKUP($G162,'Baumaterialien Matériaux'!$A:$A,'Baumaterialien Matériaux'!AG:AG,0,0)</f>
        <v>0</v>
      </c>
      <c r="Q162" s="1112">
        <f>$H162*_xlfn.XLOOKUP($G162,'Baumaterialien Matériaux'!$A:$A,'Baumaterialien Matériaux'!AH:AH,0,0)</f>
        <v>0</v>
      </c>
      <c r="R162" s="133"/>
      <c r="S162" s="133"/>
      <c r="T162" s="1912"/>
    </row>
    <row r="163" spans="1:21" s="577" customFormat="1" ht="16.5" customHeight="1" thickBot="1">
      <c r="B163" s="648"/>
      <c r="G163" s="649"/>
      <c r="H163" s="609"/>
      <c r="J163" s="870">
        <v>30</v>
      </c>
      <c r="K163" s="860">
        <f t="shared" ref="K163:L163" si="56">SUM(K161:K162)</f>
        <v>15.266400000000001</v>
      </c>
      <c r="L163" s="860">
        <f t="shared" si="56"/>
        <v>0.62028000000000005</v>
      </c>
      <c r="M163" s="860">
        <f t="shared" ref="M163:O163" si="57">SUM(M161:M162)</f>
        <v>2.9140000000000001</v>
      </c>
      <c r="N163" s="860">
        <f t="shared" si="57"/>
        <v>0.25463999999999998</v>
      </c>
      <c r="O163" s="860">
        <f t="shared" si="57"/>
        <v>0</v>
      </c>
      <c r="P163" s="860">
        <f t="shared" ref="P163:Q163" si="58">SUM(P161:P162)</f>
        <v>0</v>
      </c>
      <c r="Q163" s="860">
        <f t="shared" si="58"/>
        <v>0</v>
      </c>
      <c r="R163" s="133"/>
      <c r="S163" s="1190">
        <f>(M163+N163)/J162</f>
        <v>0.10562133333333333</v>
      </c>
      <c r="T163" s="805"/>
    </row>
    <row r="164" spans="1:21" ht="16.5" customHeight="1" thickTop="1">
      <c r="B164" s="2"/>
      <c r="J164" s="868"/>
      <c r="K164" s="857"/>
      <c r="L164" s="857"/>
      <c r="M164" s="857"/>
      <c r="N164" s="857"/>
      <c r="O164" s="857"/>
      <c r="P164" s="857"/>
      <c r="Q164" s="857"/>
    </row>
    <row r="165" spans="1:21" s="134" customFormat="1" ht="15.75" customHeight="1">
      <c r="A165" s="132" t="s">
        <v>888</v>
      </c>
      <c r="B165" s="132" t="str">
        <f>'Outil détaillé'!D56</f>
        <v>Revetements plafonds</v>
      </c>
      <c r="C165" s="132"/>
      <c r="D165" s="132"/>
      <c r="E165" s="132"/>
      <c r="F165" s="132"/>
      <c r="G165" s="504"/>
      <c r="H165" s="132"/>
      <c r="I165" s="132"/>
      <c r="J165" s="873"/>
      <c r="K165" s="805"/>
      <c r="L165" s="805"/>
      <c r="M165" s="805"/>
      <c r="N165" s="805"/>
      <c r="O165" s="805"/>
      <c r="P165" s="805"/>
      <c r="Q165" s="805"/>
      <c r="R165" s="133"/>
      <c r="S165" s="133"/>
    </row>
    <row r="166" spans="1:21" s="557" customFormat="1" ht="15.75" customHeight="1">
      <c r="A166" s="1056" t="s">
        <v>878</v>
      </c>
      <c r="B166" s="555" t="s">
        <v>889</v>
      </c>
      <c r="C166" s="570" t="s">
        <v>880</v>
      </c>
      <c r="D166" s="538" t="str">
        <f>VLOOKUP(G166,'Baumaterialien Matériaux'!$A$10:$AD$432,30,FALSE)</f>
        <v>Enduit en plâtre et en ciment</v>
      </c>
      <c r="E166" s="1785"/>
      <c r="F166" s="166" t="str">
        <f>_xlfn.XLOOKUP($G166,'Baumaterialien Matériaux'!$A:$A,'Baumaterialien Matériaux'!G:G,0,0)</f>
        <v>kg</v>
      </c>
      <c r="G166" s="567" t="s">
        <v>645</v>
      </c>
      <c r="H166" s="539">
        <v>18</v>
      </c>
      <c r="I166" s="1056"/>
      <c r="J166" s="541">
        <v>30</v>
      </c>
      <c r="K166" s="859">
        <f>$H166*_xlfn.XLOOKUP($G166,'Baumaterialien Matériaux'!$A:$A,'Baumaterialien Matériaux'!V:V,0,0)</f>
        <v>11.916</v>
      </c>
      <c r="L166" s="859">
        <f>$H166*_xlfn.XLOOKUP($G166,'Baumaterialien Matériaux'!$A:$A,'Baumaterialien Matériaux'!Y:Y,0,0)</f>
        <v>0.94320000000000004</v>
      </c>
      <c r="M166" s="859">
        <f>$H166*_xlfn.XLOOKUP($G166,'Baumaterialien Matériaux'!$A:$A,'Baumaterialien Matériaux'!AA:AA,0,0)</f>
        <v>4.5179999999999998</v>
      </c>
      <c r="N166" s="859">
        <f>$H166*_xlfn.XLOOKUP($G166,'Baumaterialien Matériaux'!$A:$A,'Baumaterialien Matériaux'!AB:AB,0,0)</f>
        <v>0.2286</v>
      </c>
      <c r="O166" s="859">
        <f>$H166*_xlfn.XLOOKUP($G166,'Baumaterialien Matériaux'!$A:$A,'Baumaterialien Matériaux'!AC:AC,0,0)*44/12</f>
        <v>0</v>
      </c>
      <c r="P166" s="859">
        <f>$H166*_xlfn.XLOOKUP($G166,'Baumaterialien Matériaux'!$A:$A,'Baumaterialien Matériaux'!AG:AG,0,0)</f>
        <v>0</v>
      </c>
      <c r="Q166" s="1112">
        <f>$H166*_xlfn.XLOOKUP($G166,'Baumaterialien Matériaux'!$A:$A,'Baumaterialien Matériaux'!AH:AH,0,0)</f>
        <v>0</v>
      </c>
      <c r="R166" s="133"/>
      <c r="S166" s="133"/>
      <c r="T166" s="1099"/>
      <c r="U166" s="1056"/>
    </row>
    <row r="167" spans="1:21" s="540" customFormat="1" ht="15.75" customHeight="1">
      <c r="B167" s="555"/>
      <c r="C167" s="570" t="s">
        <v>881</v>
      </c>
      <c r="D167" s="538" t="str">
        <f>VLOOKUP(G167,'Baumaterialien Matériaux'!$A$10:$AD$432,30,FALSE)</f>
        <v>Enduit minéral</v>
      </c>
      <c r="E167" s="1785"/>
      <c r="F167" s="166" t="str">
        <f>_xlfn.XLOOKUP($G167,'Baumaterialien Matériaux'!$A:$A,'Baumaterialien Matériaux'!G:G,0,0)</f>
        <v>kg</v>
      </c>
      <c r="G167" s="568" t="s">
        <v>882</v>
      </c>
      <c r="H167" s="539">
        <v>3.5</v>
      </c>
      <c r="J167" s="541">
        <v>30</v>
      </c>
      <c r="K167" s="859">
        <f>$H167*_xlfn.XLOOKUP($G167,'Baumaterialien Matériaux'!$A:$A,'Baumaterialien Matériaux'!V:V,0,0)</f>
        <v>2.198</v>
      </c>
      <c r="L167" s="859">
        <f>$H167*_xlfn.XLOOKUP($G167,'Baumaterialien Matériaux'!$A:$A,'Baumaterialien Matériaux'!Y:Y,0,0)</f>
        <v>0.18340000000000001</v>
      </c>
      <c r="M167" s="859">
        <f>$H167*_xlfn.XLOOKUP($G167,'Baumaterialien Matériaux'!$A:$A,'Baumaterialien Matériaux'!AA:AA,0,0)</f>
        <v>0.48300000000000004</v>
      </c>
      <c r="N167" s="859">
        <f>$H167*_xlfn.XLOOKUP($G167,'Baumaterialien Matériaux'!$A:$A,'Baumaterialien Matériaux'!AB:AB,0,0)</f>
        <v>4.4449999999999996E-2</v>
      </c>
      <c r="O167" s="859">
        <f>$H167*_xlfn.XLOOKUP($G167,'Baumaterialien Matériaux'!$A:$A,'Baumaterialien Matériaux'!AC:AC,0,0)*44/12</f>
        <v>0</v>
      </c>
      <c r="P167" s="859">
        <f>$H167*_xlfn.XLOOKUP($G167,'Baumaterialien Matériaux'!$A:$A,'Baumaterialien Matériaux'!AG:AG,0,0)</f>
        <v>0</v>
      </c>
      <c r="Q167" s="1112">
        <f>$H167*_xlfn.XLOOKUP($G167,'Baumaterialien Matériaux'!$A:$A,'Baumaterialien Matériaux'!AH:AH,0,0)</f>
        <v>0</v>
      </c>
      <c r="R167" s="133"/>
      <c r="S167" s="133"/>
      <c r="T167" s="1099"/>
    </row>
    <row r="168" spans="1:21" s="540" customFormat="1" ht="15.75" customHeight="1">
      <c r="B168" s="555"/>
      <c r="C168" s="570" t="s">
        <v>883</v>
      </c>
      <c r="D168" s="538" t="str">
        <f>VLOOKUP(G168,'Baumaterialien Matériaux'!$A$10:$AD$432,30,FALSE)</f>
        <v>Enduit, diluable à l'eau, 2 couches</v>
      </c>
      <c r="E168" s="1785"/>
      <c r="F168" s="166" t="str">
        <f>_xlfn.XLOOKUP($G168,'Baumaterialien Matériaux'!$A:$A,'Baumaterialien Matériaux'!G:G,0,0)</f>
        <v>m2</v>
      </c>
      <c r="G168" s="569" t="s">
        <v>647</v>
      </c>
      <c r="H168" s="539">
        <v>1</v>
      </c>
      <c r="J168" s="541">
        <v>30</v>
      </c>
      <c r="K168" s="859">
        <f>$H168*_xlfn.XLOOKUP($G168,'Baumaterialien Matériaux'!$A:$A,'Baumaterialien Matériaux'!V:V,0,0)</f>
        <v>4.1500000000000004</v>
      </c>
      <c r="L168" s="859">
        <f>$H168*_xlfn.XLOOKUP($G168,'Baumaterialien Matériaux'!$A:$A,'Baumaterialien Matériaux'!Y:Y,0,0)</f>
        <v>1.67E-2</v>
      </c>
      <c r="M168" s="859">
        <f>$H168*_xlfn.XLOOKUP($G168,'Baumaterialien Matériaux'!$A:$A,'Baumaterialien Matériaux'!AA:AA,0,0)</f>
        <v>0.64500000000000002</v>
      </c>
      <c r="N168" s="859">
        <f>$H168*_xlfn.XLOOKUP($G168,'Baumaterialien Matériaux'!$A:$A,'Baumaterialien Matériaux'!AB:AB,0,0)</f>
        <v>5.62E-2</v>
      </c>
      <c r="O168" s="859">
        <f>$H168*_xlfn.XLOOKUP($G168,'Baumaterialien Matériaux'!$A:$A,'Baumaterialien Matériaux'!AC:AC,0,0)*44/12</f>
        <v>0</v>
      </c>
      <c r="P168" s="859">
        <f>$H168*_xlfn.XLOOKUP($G168,'Baumaterialien Matériaux'!$A:$A,'Baumaterialien Matériaux'!AG:AG,0,0)</f>
        <v>0</v>
      </c>
      <c r="Q168" s="1112">
        <f>$H168*_xlfn.XLOOKUP($G168,'Baumaterialien Matériaux'!$A:$A,'Baumaterialien Matériaux'!AH:AH,0,0)</f>
        <v>0</v>
      </c>
      <c r="R168" s="133"/>
      <c r="S168" s="133"/>
      <c r="T168" s="1099"/>
    </row>
    <row r="169" spans="1:21" s="577" customFormat="1" ht="16.5" customHeight="1" thickBot="1">
      <c r="B169" s="656"/>
      <c r="G169" s="649"/>
      <c r="H169" s="609"/>
      <c r="J169" s="870">
        <v>30</v>
      </c>
      <c r="K169" s="860">
        <f t="shared" ref="K169:L169" si="59">SUM(K166:K168)</f>
        <v>18.264000000000003</v>
      </c>
      <c r="L169" s="860">
        <f t="shared" si="59"/>
        <v>1.1433</v>
      </c>
      <c r="M169" s="860">
        <f t="shared" ref="M169:O169" si="60">SUM(M166:M168)</f>
        <v>5.645999999999999</v>
      </c>
      <c r="N169" s="860">
        <f t="shared" si="60"/>
        <v>0.32925000000000004</v>
      </c>
      <c r="O169" s="860">
        <f t="shared" si="60"/>
        <v>0</v>
      </c>
      <c r="P169" s="860">
        <f t="shared" ref="P169:Q169" si="61">SUM(P166:P168)</f>
        <v>0</v>
      </c>
      <c r="Q169" s="860">
        <f t="shared" si="61"/>
        <v>0</v>
      </c>
      <c r="R169" s="133"/>
      <c r="S169" s="1190">
        <f>(M169+N169)/J168</f>
        <v>0.19917499999999996</v>
      </c>
      <c r="T169" s="668"/>
    </row>
    <row r="170" spans="1:21" ht="16.5" customHeight="1" thickTop="1">
      <c r="J170" s="868"/>
      <c r="K170" s="857"/>
      <c r="L170" s="857"/>
      <c r="M170" s="857"/>
      <c r="N170" s="857"/>
      <c r="O170" s="857"/>
      <c r="P170" s="857"/>
      <c r="Q170" s="857"/>
    </row>
    <row r="171" spans="1:21" s="557" customFormat="1" ht="14.25" customHeight="1">
      <c r="A171" s="560" t="s">
        <v>890</v>
      </c>
      <c r="B171" s="555" t="s">
        <v>891</v>
      </c>
      <c r="C171" s="570" t="s">
        <v>618</v>
      </c>
      <c r="D171" s="538" t="str">
        <f>VLOOKUP(G171,'Baumaterialien Matériaux'!$A$10:$AD$432,30,FALSE)</f>
        <v>Bois massif épicéa / sapin / mélèze, séché à l'air, brut</v>
      </c>
      <c r="E171" s="1785"/>
      <c r="F171" s="166" t="str">
        <f>_xlfn.XLOOKUP($G171,'Baumaterialien Matériaux'!$A:$A,'Baumaterialien Matériaux'!G:G,0,0)</f>
        <v>kg</v>
      </c>
      <c r="G171" s="546" t="s">
        <v>619</v>
      </c>
      <c r="H171" s="539">
        <f>1/0.6*0.04*0.06*485</f>
        <v>1.94</v>
      </c>
      <c r="I171" s="538"/>
      <c r="J171" s="541">
        <v>30</v>
      </c>
      <c r="K171" s="859">
        <f>$H171*_xlfn.XLOOKUP($G171,'Baumaterialien Matériaux'!$A:$A,'Baumaterialien Matériaux'!V:V,0,0)</f>
        <v>0.81673999999999991</v>
      </c>
      <c r="L171" s="859">
        <f>$H171*_xlfn.XLOOKUP($G171,'Baumaterialien Matériaux'!$A:$A,'Baumaterialien Matériaux'!Y:Y,0,0)</f>
        <v>0.17227200000000001</v>
      </c>
      <c r="M171" s="859">
        <f>$H171*_xlfn.XLOOKUP($G171,'Baumaterialien Matériaux'!$A:$A,'Baumaterialien Matériaux'!AA:AA,0,0)</f>
        <v>0.17537599999999998</v>
      </c>
      <c r="N171" s="859">
        <f>$H171*_xlfn.XLOOKUP($G171,'Baumaterialien Matériaux'!$A:$A,'Baumaterialien Matériaux'!AB:AB,0,0)</f>
        <v>7.5659999999999991E-2</v>
      </c>
      <c r="O171" s="859">
        <f>$H171*_xlfn.XLOOKUP($G171,'Baumaterialien Matériaux'!$A:$A,'Baumaterialien Matériaux'!AC:AC,0,0)*44/12</f>
        <v>2.9378066666666665</v>
      </c>
      <c r="P171" s="859">
        <f>$H171*_xlfn.XLOOKUP($G171,'Baumaterialien Matériaux'!$A:$A,'Baumaterialien Matériaux'!AG:AG,0,0)</f>
        <v>0</v>
      </c>
      <c r="Q171" s="1112">
        <f>$H171*_xlfn.XLOOKUP($G171,'Baumaterialien Matériaux'!$A:$A,'Baumaterialien Matériaux'!AH:AH,0,0)</f>
        <v>0</v>
      </c>
      <c r="R171" s="133"/>
      <c r="S171" s="133"/>
      <c r="T171" s="1911"/>
      <c r="U171" s="1056"/>
    </row>
    <row r="172" spans="1:21" s="540" customFormat="1" ht="15.75" customHeight="1">
      <c r="B172" s="555"/>
      <c r="C172" s="540" t="s">
        <v>892</v>
      </c>
      <c r="D172" s="538" t="str">
        <f>VLOOKUP(G172,'Baumaterialien Matériaux'!$A$10:$AD$432,30,FALSE)</f>
        <v>Plaque de plâtre cartonnée</v>
      </c>
      <c r="E172" s="1785"/>
      <c r="F172" s="166" t="str">
        <f>_xlfn.XLOOKUP($G172,'Baumaterialien Matériaux'!$A:$A,'Baumaterialien Matériaux'!G:G,0,0)</f>
        <v>kg</v>
      </c>
      <c r="G172" s="571" t="s">
        <v>893</v>
      </c>
      <c r="H172" s="539">
        <f>850*0.0125</f>
        <v>10.625</v>
      </c>
      <c r="I172" s="538"/>
      <c r="J172" s="541">
        <v>30</v>
      </c>
      <c r="K172" s="859">
        <f>$H172*_xlfn.XLOOKUP($G172,'Baumaterialien Matériaux'!$A:$A,'Baumaterialien Matériaux'!V:V,0,0)</f>
        <v>13.28125</v>
      </c>
      <c r="L172" s="859">
        <f>$H172*_xlfn.XLOOKUP($G172,'Baumaterialien Matériaux'!$A:$A,'Baumaterialien Matériaux'!Y:Y,0,0)</f>
        <v>0.82662499999999994</v>
      </c>
      <c r="M172" s="859">
        <f>$H172*_xlfn.XLOOKUP($G172,'Baumaterialien Matériaux'!$A:$A,'Baumaterialien Matériaux'!AA:AA,0,0)</f>
        <v>3.0068749999999995</v>
      </c>
      <c r="N172" s="859">
        <f>$H172*_xlfn.XLOOKUP($G172,'Baumaterialien Matériaux'!$A:$A,'Baumaterialien Matériaux'!AB:AB,0,0)</f>
        <v>0.19868750000000002</v>
      </c>
      <c r="O172" s="859">
        <f>$H172*_xlfn.XLOOKUP($G172,'Baumaterialien Matériaux'!$A:$A,'Baumaterialien Matériaux'!AC:AC,0,0)*44/12</f>
        <v>0.70124999999999993</v>
      </c>
      <c r="P172" s="859">
        <f>$H172*_xlfn.XLOOKUP($G172,'Baumaterialien Matériaux'!$A:$A,'Baumaterialien Matériaux'!AG:AG,0,0)</f>
        <v>0</v>
      </c>
      <c r="Q172" s="1112">
        <f>$H172*_xlfn.XLOOKUP($G172,'Baumaterialien Matériaux'!$A:$A,'Baumaterialien Matériaux'!AH:AH,0,0)</f>
        <v>0</v>
      </c>
      <c r="R172" s="133"/>
      <c r="S172" s="133"/>
      <c r="T172" s="1911"/>
    </row>
    <row r="173" spans="1:21" s="540" customFormat="1" ht="15.75" customHeight="1">
      <c r="B173" s="555"/>
      <c r="C173" s="570" t="s">
        <v>886</v>
      </c>
      <c r="D173" s="538" t="str">
        <f>VLOOKUP(G173,'Baumaterialien Matériaux'!$A$10:$AD$432,30,FALSE)</f>
        <v>Enduit en plâtre et chaux</v>
      </c>
      <c r="E173" s="1785"/>
      <c r="F173" s="166" t="str">
        <f>_xlfn.XLOOKUP($G173,'Baumaterialien Matériaux'!$A:$A,'Baumaterialien Matériaux'!G:G,0,0)</f>
        <v>kg</v>
      </c>
      <c r="G173" s="567" t="s">
        <v>887</v>
      </c>
      <c r="H173" s="539">
        <f>1400*0.004</f>
        <v>5.6000000000000005</v>
      </c>
      <c r="I173" s="538"/>
      <c r="J173" s="541">
        <v>30</v>
      </c>
      <c r="K173" s="859">
        <f>$H173*_xlfn.XLOOKUP($G173,'Baumaterialien Matériaux'!$A:$A,'Baumaterialien Matériaux'!V:V,0,0)</f>
        <v>3.4832000000000005</v>
      </c>
      <c r="L173" s="859">
        <f>$H173*_xlfn.XLOOKUP($G173,'Baumaterialien Matériaux'!$A:$A,'Baumaterialien Matériaux'!Y:Y,0,0)</f>
        <v>0.29344000000000003</v>
      </c>
      <c r="M173" s="859">
        <f>$H173*_xlfn.XLOOKUP($G173,'Baumaterialien Matériaux'!$A:$A,'Baumaterialien Matériaux'!AA:AA,0,0)</f>
        <v>0.81200000000000006</v>
      </c>
      <c r="N173" s="859">
        <f>$H173*_xlfn.XLOOKUP($G173,'Baumaterialien Matériaux'!$A:$A,'Baumaterialien Matériaux'!AB:AB,0,0)</f>
        <v>7.1120000000000003E-2</v>
      </c>
      <c r="O173" s="859">
        <f>$H173*_xlfn.XLOOKUP($G173,'Baumaterialien Matériaux'!$A:$A,'Baumaterialien Matériaux'!AC:AC,0,0)*44/12</f>
        <v>0</v>
      </c>
      <c r="P173" s="859">
        <f>$H173*_xlfn.XLOOKUP($G173,'Baumaterialien Matériaux'!$A:$A,'Baumaterialien Matériaux'!AG:AG,0,0)</f>
        <v>0</v>
      </c>
      <c r="Q173" s="1112">
        <f>$H173*_xlfn.XLOOKUP($G173,'Baumaterialien Matériaux'!$A:$A,'Baumaterialien Matériaux'!AH:AH,0,0)</f>
        <v>0</v>
      </c>
      <c r="R173" s="133"/>
      <c r="S173" s="133"/>
      <c r="T173" s="1911"/>
    </row>
    <row r="174" spans="1:21" s="540" customFormat="1" ht="15.75" customHeight="1">
      <c r="B174" s="555"/>
      <c r="C174" s="570" t="s">
        <v>883</v>
      </c>
      <c r="D174" s="538" t="str">
        <f>VLOOKUP(G174,'Baumaterialien Matériaux'!$A$10:$AD$432,30,FALSE)</f>
        <v>Enduit, diluable à l'eau, 2 couches</v>
      </c>
      <c r="E174" s="1785"/>
      <c r="F174" s="166" t="str">
        <f>_xlfn.XLOOKUP($G174,'Baumaterialien Matériaux'!$A:$A,'Baumaterialien Matériaux'!G:G,0,0)</f>
        <v>m2</v>
      </c>
      <c r="G174" s="569" t="s">
        <v>647</v>
      </c>
      <c r="H174" s="539">
        <v>1</v>
      </c>
      <c r="I174" s="538"/>
      <c r="J174" s="541">
        <v>30</v>
      </c>
      <c r="K174" s="859">
        <f>$H174*_xlfn.XLOOKUP($G174,'Baumaterialien Matériaux'!$A:$A,'Baumaterialien Matériaux'!V:V,0,0)</f>
        <v>4.1500000000000004</v>
      </c>
      <c r="L174" s="859">
        <f>$H174*_xlfn.XLOOKUP($G174,'Baumaterialien Matériaux'!$A:$A,'Baumaterialien Matériaux'!Y:Y,0,0)</f>
        <v>1.67E-2</v>
      </c>
      <c r="M174" s="859">
        <f>$H174*_xlfn.XLOOKUP($G174,'Baumaterialien Matériaux'!$A:$A,'Baumaterialien Matériaux'!AA:AA,0,0)</f>
        <v>0.64500000000000002</v>
      </c>
      <c r="N174" s="859">
        <f>$H174*_xlfn.XLOOKUP($G174,'Baumaterialien Matériaux'!$A:$A,'Baumaterialien Matériaux'!AB:AB,0,0)</f>
        <v>5.62E-2</v>
      </c>
      <c r="O174" s="859">
        <f>$H174*_xlfn.XLOOKUP($G174,'Baumaterialien Matériaux'!$A:$A,'Baumaterialien Matériaux'!AC:AC,0,0)*44/12</f>
        <v>0</v>
      </c>
      <c r="P174" s="859">
        <f>$H174*_xlfn.XLOOKUP($G174,'Baumaterialien Matériaux'!$A:$A,'Baumaterialien Matériaux'!AG:AG,0,0)</f>
        <v>0</v>
      </c>
      <c r="Q174" s="1112">
        <f>$H174*_xlfn.XLOOKUP($G174,'Baumaterialien Matériaux'!$A:$A,'Baumaterialien Matériaux'!AH:AH,0,0)</f>
        <v>0</v>
      </c>
      <c r="R174" s="133"/>
      <c r="S174" s="133"/>
      <c r="T174" s="1911"/>
    </row>
    <row r="175" spans="1:21" s="577" customFormat="1" ht="16.5" customHeight="1" thickBot="1">
      <c r="B175" s="656"/>
      <c r="G175" s="649"/>
      <c r="H175" s="609"/>
      <c r="J175" s="870">
        <v>30</v>
      </c>
      <c r="K175" s="860">
        <f t="shared" ref="K175:L175" si="62">SUM(K171:K174)</f>
        <v>21.731189999999998</v>
      </c>
      <c r="L175" s="860">
        <f t="shared" si="62"/>
        <v>1.3090369999999998</v>
      </c>
      <c r="M175" s="860">
        <f t="shared" ref="M175:O175" si="63">SUM(M171:M174)</f>
        <v>4.6392509999999998</v>
      </c>
      <c r="N175" s="860">
        <f t="shared" si="63"/>
        <v>0.40166750000000007</v>
      </c>
      <c r="O175" s="860">
        <f t="shared" si="63"/>
        <v>3.6390566666666664</v>
      </c>
      <c r="P175" s="860">
        <f t="shared" ref="P175:Q175" si="64">SUM(P171:P174)</f>
        <v>0</v>
      </c>
      <c r="Q175" s="860">
        <f t="shared" si="64"/>
        <v>0</v>
      </c>
      <c r="R175" s="133"/>
      <c r="S175" s="1190">
        <f>(M175+N175)/J174</f>
        <v>0.16803061666666666</v>
      </c>
      <c r="T175" s="668"/>
    </row>
    <row r="176" spans="1:21" ht="16.5" customHeight="1" thickTop="1">
      <c r="J176" s="868"/>
      <c r="K176" s="857"/>
      <c r="L176" s="857"/>
      <c r="M176" s="857"/>
      <c r="N176" s="857"/>
      <c r="O176" s="857"/>
      <c r="P176" s="857"/>
      <c r="Q176" s="857"/>
    </row>
    <row r="177" spans="1:21" s="582" customFormat="1" ht="15.75" customHeight="1">
      <c r="A177" s="1177" t="s">
        <v>894</v>
      </c>
      <c r="B177" s="1948" t="s">
        <v>895</v>
      </c>
      <c r="C177" s="267" t="s">
        <v>896</v>
      </c>
      <c r="D177" s="163" t="str">
        <f>VLOOKUP(G177,'Baumaterialien Matériaux'!$A$10:$AD$432,30,FALSE)</f>
        <v>Plaque de plâtre armé de fibres</v>
      </c>
      <c r="E177" s="1409"/>
      <c r="F177" s="166" t="str">
        <f>_xlfn.XLOOKUP($G177,'Baumaterialien Matériaux'!$A:$A,'Baumaterialien Matériaux'!G:G,0,0)</f>
        <v>kg</v>
      </c>
      <c r="G177" s="508" t="s">
        <v>808</v>
      </c>
      <c r="H177" s="259">
        <v>18.75</v>
      </c>
      <c r="I177" s="163"/>
      <c r="J177" s="262">
        <v>30</v>
      </c>
      <c r="K177" s="855">
        <f>$H177*_xlfn.XLOOKUP($G177,'Baumaterialien Matériaux'!$A:$A,'Baumaterialien Matériaux'!V:V,0,0)</f>
        <v>44.8125</v>
      </c>
      <c r="L177" s="855">
        <f>$H177*_xlfn.XLOOKUP($G177,'Baumaterialien Matériaux'!$A:$A,'Baumaterialien Matériaux'!Y:Y,0,0)</f>
        <v>1.464375</v>
      </c>
      <c r="M177" s="855">
        <f>$H177*_xlfn.XLOOKUP($G177,'Baumaterialien Matériaux'!$A:$A,'Baumaterialien Matériaux'!AA:AA,0,0)</f>
        <v>9.9937500000000004</v>
      </c>
      <c r="N177" s="855">
        <f>$H177*_xlfn.XLOOKUP($G177,'Baumaterialien Matériaux'!$A:$A,'Baumaterialien Matériaux'!AB:AB,0,0)</f>
        <v>0.34874999999999995</v>
      </c>
      <c r="O177" s="855">
        <f>$H177*_xlfn.XLOOKUP($G177,'Baumaterialien Matériaux'!$A:$A,'Baumaterialien Matériaux'!AC:AC,0,0)*44/12</f>
        <v>3.0868750000000005</v>
      </c>
      <c r="P177" s="855">
        <f>$H177*_xlfn.XLOOKUP($G177,'Baumaterialien Matériaux'!$A:$A,'Baumaterialien Matériaux'!AG:AG,0,0)</f>
        <v>0</v>
      </c>
      <c r="Q177" s="1101">
        <f>$H177*_xlfn.XLOOKUP($G177,'Baumaterialien Matériaux'!$A:$A,'Baumaterialien Matériaux'!AH:AH,0,0)</f>
        <v>0</v>
      </c>
      <c r="R177" s="133"/>
      <c r="S177" s="133"/>
      <c r="T177" s="1098"/>
      <c r="U177" s="1096"/>
    </row>
    <row r="178" spans="1:21" s="159" customFormat="1" ht="15.75" customHeight="1">
      <c r="A178" s="584"/>
      <c r="B178" s="1948"/>
      <c r="C178" s="267" t="s">
        <v>656</v>
      </c>
      <c r="D178" s="163" t="str">
        <f>VLOOKUP(G178,'Baumaterialien Matériaux'!$A$10:$AD$432,30,FALSE)</f>
        <v>Profil en acier, nu</v>
      </c>
      <c r="E178" s="1409"/>
      <c r="F178" s="166" t="str">
        <f>_xlfn.XLOOKUP($G178,'Baumaterialien Matériaux'!$A:$A,'Baumaterialien Matériaux'!G:G,0,0)</f>
        <v>kg</v>
      </c>
      <c r="G178" s="508" t="s">
        <v>748</v>
      </c>
      <c r="H178" s="259">
        <v>2.2000000000000002</v>
      </c>
      <c r="I178" s="163"/>
      <c r="J178" s="262">
        <v>30</v>
      </c>
      <c r="K178" s="855">
        <f>$H178*_xlfn.XLOOKUP($G178,'Baumaterialien Matériaux'!$A:$A,'Baumaterialien Matériaux'!V:V,0,0)</f>
        <v>7.370000000000001</v>
      </c>
      <c r="L178" s="855">
        <f>$H178*_xlfn.XLOOKUP($G178,'Baumaterialien Matériaux'!$A:$A,'Baumaterialien Matériaux'!Y:Y,0,0)</f>
        <v>5.9840000000000004E-2</v>
      </c>
      <c r="M178" s="855">
        <f>$H178*_xlfn.XLOOKUP($G178,'Baumaterialien Matériaux'!$A:$A,'Baumaterialien Matériaux'!AA:AA,0,0)</f>
        <v>1.6060000000000001</v>
      </c>
      <c r="N178" s="855">
        <f>$H178*_xlfn.XLOOKUP($G178,'Baumaterialien Matériaux'!$A:$A,'Baumaterialien Matériaux'!AB:AB,0,0)</f>
        <v>1.5246000000000003E-2</v>
      </c>
      <c r="O178" s="855">
        <f>$H178*_xlfn.XLOOKUP($G178,'Baumaterialien Matériaux'!$A:$A,'Baumaterialien Matériaux'!AC:AC,0,0)*44/12</f>
        <v>0</v>
      </c>
      <c r="P178" s="855">
        <f>$H178*_xlfn.XLOOKUP($G178,'Baumaterialien Matériaux'!$A:$A,'Baumaterialien Matériaux'!AG:AG,0,0)</f>
        <v>0</v>
      </c>
      <c r="Q178" s="1101">
        <f>$H178*_xlfn.XLOOKUP($G178,'Baumaterialien Matériaux'!$A:$A,'Baumaterialien Matériaux'!AH:AH,0,0)</f>
        <v>0</v>
      </c>
      <c r="R178" s="133"/>
      <c r="S178" s="133"/>
      <c r="T178" s="1098"/>
    </row>
    <row r="179" spans="1:21" s="159" customFormat="1" ht="15.75" customHeight="1">
      <c r="A179" s="584"/>
      <c r="B179" s="618"/>
      <c r="C179" s="267" t="s">
        <v>886</v>
      </c>
      <c r="D179" s="163" t="str">
        <f>VLOOKUP(G179,'Baumaterialien Matériaux'!$A$10:$AD$432,30,FALSE)</f>
        <v>Enduit en plâtre et chaux</v>
      </c>
      <c r="E179" s="1409"/>
      <c r="F179" s="166" t="str">
        <f>_xlfn.XLOOKUP($G179,'Baumaterialien Matériaux'!$A:$A,'Baumaterialien Matériaux'!G:G,0,0)</f>
        <v>kg</v>
      </c>
      <c r="G179" s="507" t="s">
        <v>887</v>
      </c>
      <c r="H179" s="259">
        <f>1400*0.004</f>
        <v>5.6000000000000005</v>
      </c>
      <c r="J179" s="262">
        <v>30</v>
      </c>
      <c r="K179" s="855">
        <f>$H179*_xlfn.XLOOKUP($G179,'Baumaterialien Matériaux'!$A:$A,'Baumaterialien Matériaux'!V:V,0,0)</f>
        <v>3.4832000000000005</v>
      </c>
      <c r="L179" s="855">
        <f>$H179*_xlfn.XLOOKUP($G179,'Baumaterialien Matériaux'!$A:$A,'Baumaterialien Matériaux'!Y:Y,0,0)</f>
        <v>0.29344000000000003</v>
      </c>
      <c r="M179" s="855">
        <f>$H179*_xlfn.XLOOKUP($G179,'Baumaterialien Matériaux'!$A:$A,'Baumaterialien Matériaux'!AA:AA,0,0)</f>
        <v>0.81200000000000006</v>
      </c>
      <c r="N179" s="855">
        <f>$H179*_xlfn.XLOOKUP($G179,'Baumaterialien Matériaux'!$A:$A,'Baumaterialien Matériaux'!AB:AB,0,0)</f>
        <v>7.1120000000000003E-2</v>
      </c>
      <c r="O179" s="855">
        <f>$H179*_xlfn.XLOOKUP($G179,'Baumaterialien Matériaux'!$A:$A,'Baumaterialien Matériaux'!AC:AC,0,0)*44/12</f>
        <v>0</v>
      </c>
      <c r="P179" s="855">
        <f>$H179*_xlfn.XLOOKUP($G179,'Baumaterialien Matériaux'!$A:$A,'Baumaterialien Matériaux'!AG:AG,0,0)</f>
        <v>0</v>
      </c>
      <c r="Q179" s="1101">
        <f>$H179*_xlfn.XLOOKUP($G179,'Baumaterialien Matériaux'!$A:$A,'Baumaterialien Matériaux'!AH:AH,0,0)</f>
        <v>0</v>
      </c>
      <c r="R179" s="133"/>
      <c r="S179" s="133"/>
      <c r="T179" s="1098"/>
    </row>
    <row r="180" spans="1:21" s="159" customFormat="1" ht="15.75" customHeight="1">
      <c r="A180" s="584"/>
      <c r="B180" s="618"/>
      <c r="C180" s="267" t="s">
        <v>883</v>
      </c>
      <c r="D180" s="163" t="str">
        <f>VLOOKUP(G180,'Baumaterialien Matériaux'!$A$10:$AD$432,30,FALSE)</f>
        <v>Enduit, diluable à l'eau, 2 couches</v>
      </c>
      <c r="E180" s="1409"/>
      <c r="F180" s="166" t="str">
        <f>_xlfn.XLOOKUP($G180,'Baumaterialien Matériaux'!$A:$A,'Baumaterialien Matériaux'!G:G,0,0)</f>
        <v>m2</v>
      </c>
      <c r="G180" s="509" t="s">
        <v>647</v>
      </c>
      <c r="H180" s="259">
        <v>1</v>
      </c>
      <c r="J180" s="262">
        <v>30</v>
      </c>
      <c r="K180" s="855">
        <f>$H180*_xlfn.XLOOKUP($G180,'Baumaterialien Matériaux'!$A:$A,'Baumaterialien Matériaux'!V:V,0,0)</f>
        <v>4.1500000000000004</v>
      </c>
      <c r="L180" s="855">
        <f>$H180*_xlfn.XLOOKUP($G180,'Baumaterialien Matériaux'!$A:$A,'Baumaterialien Matériaux'!Y:Y,0,0)</f>
        <v>1.67E-2</v>
      </c>
      <c r="M180" s="855">
        <f>$H180*_xlfn.XLOOKUP($G180,'Baumaterialien Matériaux'!$A:$A,'Baumaterialien Matériaux'!AA:AA,0,0)</f>
        <v>0.64500000000000002</v>
      </c>
      <c r="N180" s="855">
        <f>$H180*_xlfn.XLOOKUP($G180,'Baumaterialien Matériaux'!$A:$A,'Baumaterialien Matériaux'!AB:AB,0,0)</f>
        <v>5.62E-2</v>
      </c>
      <c r="O180" s="855">
        <f>$H180*_xlfn.XLOOKUP($G180,'Baumaterialien Matériaux'!$A:$A,'Baumaterialien Matériaux'!AC:AC,0,0)*44/12</f>
        <v>0</v>
      </c>
      <c r="P180" s="855">
        <f>$H180*_xlfn.XLOOKUP($G180,'Baumaterialien Matériaux'!$A:$A,'Baumaterialien Matériaux'!AG:AG,0,0)</f>
        <v>0</v>
      </c>
      <c r="Q180" s="1101">
        <f>$H180*_xlfn.XLOOKUP($G180,'Baumaterialien Matériaux'!$A:$A,'Baumaterialien Matériaux'!AH:AH,0,0)</f>
        <v>0</v>
      </c>
      <c r="R180" s="133"/>
      <c r="S180" s="133"/>
      <c r="T180" s="1098"/>
    </row>
    <row r="181" spans="1:21" s="590" customFormat="1" ht="16.5" customHeight="1" thickBot="1">
      <c r="B181" s="620"/>
      <c r="G181" s="599"/>
      <c r="H181" s="602"/>
      <c r="J181" s="867">
        <v>30</v>
      </c>
      <c r="K181" s="856">
        <f t="shared" ref="K181:L181" si="65">SUM(K177:K178)</f>
        <v>52.182500000000005</v>
      </c>
      <c r="L181" s="856">
        <f t="shared" si="65"/>
        <v>1.5242149999999999</v>
      </c>
      <c r="M181" s="856">
        <f>SUM(M177:M178)</f>
        <v>11.59975</v>
      </c>
      <c r="N181" s="856">
        <f>SUM(N177:N178)</f>
        <v>0.36399599999999993</v>
      </c>
      <c r="O181" s="856">
        <f>SUM(O177:O178)</f>
        <v>3.0868750000000005</v>
      </c>
      <c r="P181" s="856">
        <f>SUM(P177:P178)</f>
        <v>0</v>
      </c>
      <c r="Q181" s="856">
        <f>SUM(Q177:Q178)</f>
        <v>0</v>
      </c>
      <c r="R181" s="133"/>
      <c r="S181" s="1190">
        <f>(M181+N181)/J180</f>
        <v>0.39879153333333334</v>
      </c>
      <c r="T181" s="668">
        <v>0.62</v>
      </c>
    </row>
    <row r="182" spans="1:21" ht="16.5" customHeight="1" thickTop="1">
      <c r="H182" s="126"/>
      <c r="J182" s="868"/>
      <c r="K182" s="857"/>
      <c r="L182" s="857"/>
      <c r="M182" s="857"/>
      <c r="N182" s="857"/>
      <c r="O182" s="857"/>
      <c r="P182" s="857"/>
      <c r="Q182" s="857"/>
    </row>
    <row r="183" spans="1:21" s="149" customFormat="1" ht="14.1" customHeight="1">
      <c r="A183" s="601" t="s">
        <v>897</v>
      </c>
      <c r="B183" s="1937" t="s">
        <v>898</v>
      </c>
      <c r="C183" s="137" t="s">
        <v>899</v>
      </c>
      <c r="D183" s="166" t="str">
        <f>VLOOKUP(G183,'Baumaterialien Matériaux'!$A$10:$AD$432,30,FALSE)</f>
        <v>Tôle d'acier, zinguée</v>
      </c>
      <c r="E183" s="1403"/>
      <c r="F183" s="166" t="str">
        <f>_xlfn.XLOOKUP($G183,'Baumaterialien Matériaux'!$A:$A,'Baumaterialien Matériaux'!G:G,0,0)</f>
        <v>kg</v>
      </c>
      <c r="G183" s="508" t="s">
        <v>657</v>
      </c>
      <c r="H183" s="167">
        <f>0.0006*7850</f>
        <v>4.71</v>
      </c>
      <c r="I183" s="166"/>
      <c r="J183" s="514">
        <v>30</v>
      </c>
      <c r="K183" s="852">
        <f>$H183*_xlfn.XLOOKUP($G183,'Baumaterialien Matériaux'!$A:$A,'Baumaterialien Matériaux'!V:V,0,0)</f>
        <v>73.475999999999999</v>
      </c>
      <c r="L183" s="852">
        <f>$H183*_xlfn.XLOOKUP($G183,'Baumaterialien Matériaux'!$A:$A,'Baumaterialien Matériaux'!Y:Y,0,0)</f>
        <v>0.128112</v>
      </c>
      <c r="M183" s="852">
        <f>$H183*_xlfn.XLOOKUP($G183,'Baumaterialien Matériaux'!$A:$A,'Baumaterialien Matériaux'!AA:AA,0,0)</f>
        <v>21.100800000000003</v>
      </c>
      <c r="N183" s="852">
        <f>$H183*_xlfn.XLOOKUP($G183,'Baumaterialien Matériaux'!$A:$A,'Baumaterialien Matériaux'!AB:AB,0,0)</f>
        <v>3.2640300000000004E-2</v>
      </c>
      <c r="O183" s="852">
        <f>$H183*_xlfn.XLOOKUP($G183,'Baumaterialien Matériaux'!$A:$A,'Baumaterialien Matériaux'!AC:AC,0,0)*44/12</f>
        <v>0</v>
      </c>
      <c r="P183" s="852">
        <f>$H183*_xlfn.XLOOKUP($G183,'Baumaterialien Matériaux'!$A:$A,'Baumaterialien Matériaux'!AG:AG,0,0)</f>
        <v>0</v>
      </c>
      <c r="Q183" s="1111">
        <f>$H183*_xlfn.XLOOKUP($G183,'Baumaterialien Matériaux'!$A:$A,'Baumaterialien Matériaux'!AH:AH,0,0)</f>
        <v>0</v>
      </c>
      <c r="R183" s="133"/>
      <c r="S183" s="133"/>
      <c r="T183" s="1098"/>
      <c r="U183" s="1095"/>
    </row>
    <row r="184" spans="1:21" ht="14.1" customHeight="1">
      <c r="A184" s="1178"/>
      <c r="B184" s="1938"/>
      <c r="C184" s="137" t="s">
        <v>900</v>
      </c>
      <c r="D184" s="166" t="str">
        <f>VLOOKUP(G184,'Baumaterialien Matériaux'!$A$10:$AD$432,30,FALSE)</f>
        <v>Revêtement pulvérisé, acier</v>
      </c>
      <c r="E184" s="1403"/>
      <c r="F184" s="166" t="str">
        <f>_xlfn.XLOOKUP($G184,'Baumaterialien Matériaux'!$A:$A,'Baumaterialien Matériaux'!G:G,0,0)</f>
        <v>m2</v>
      </c>
      <c r="G184" s="508" t="s">
        <v>901</v>
      </c>
      <c r="H184" s="167">
        <v>1</v>
      </c>
      <c r="I184" s="166"/>
      <c r="J184" s="514">
        <v>30</v>
      </c>
      <c r="K184" s="852">
        <f>$H184*_xlfn.XLOOKUP($G184,'Baumaterialien Matériaux'!$A:$A,'Baumaterialien Matériaux'!V:V,0,0)</f>
        <v>21.1</v>
      </c>
      <c r="L184" s="852">
        <f>$H184*_xlfn.XLOOKUP($G184,'Baumaterialien Matériaux'!$A:$A,'Baumaterialien Matériaux'!Y:Y,0,0)</f>
        <v>0</v>
      </c>
      <c r="M184" s="852">
        <f>$H184*_xlfn.XLOOKUP($G184,'Baumaterialien Matériaux'!$A:$A,'Baumaterialien Matériaux'!AA:AA,0,0)</f>
        <v>4.38</v>
      </c>
      <c r="N184" s="852">
        <f>$H184*_xlfn.XLOOKUP($G184,'Baumaterialien Matériaux'!$A:$A,'Baumaterialien Matériaux'!AB:AB,0,0)</f>
        <v>0</v>
      </c>
      <c r="O184" s="852">
        <f>$H184*_xlfn.XLOOKUP($G184,'Baumaterialien Matériaux'!$A:$A,'Baumaterialien Matériaux'!AC:AC,0,0)*44/12</f>
        <v>0</v>
      </c>
      <c r="P184" s="852">
        <f>$H184*_xlfn.XLOOKUP($G184,'Baumaterialien Matériaux'!$A:$A,'Baumaterialien Matériaux'!AG:AG,0,0)</f>
        <v>0</v>
      </c>
      <c r="Q184" s="1111">
        <f>$H184*_xlfn.XLOOKUP($G184,'Baumaterialien Matériaux'!$A:$A,'Baumaterialien Matériaux'!AH:AH,0,0)</f>
        <v>0</v>
      </c>
      <c r="T184" s="1098"/>
    </row>
    <row r="185" spans="1:21" ht="14.1" customHeight="1">
      <c r="A185" s="1178"/>
      <c r="B185" s="1938"/>
      <c r="C185" s="137" t="s">
        <v>902</v>
      </c>
      <c r="D185" s="166" t="str">
        <f>VLOOKUP(G185,'Baumaterialien Matériaux'!$A$10:$AD$432,30,FALSE)</f>
        <v>Voile de polyéthylène (PE)</v>
      </c>
      <c r="E185" s="1403"/>
      <c r="F185" s="166" t="str">
        <f>_xlfn.XLOOKUP($G185,'Baumaterialien Matériaux'!$A:$A,'Baumaterialien Matériaux'!G:G,0,0)</f>
        <v>kg</v>
      </c>
      <c r="G185" s="508" t="s">
        <v>600</v>
      </c>
      <c r="H185" s="167">
        <v>7.4999999999999997E-2</v>
      </c>
      <c r="I185" s="166"/>
      <c r="J185" s="514">
        <v>30</v>
      </c>
      <c r="K185" s="852">
        <f>$H185*_xlfn.XLOOKUP($G185,'Baumaterialien Matériaux'!$A:$A,'Baumaterialien Matériaux'!V:V,0,0)</f>
        <v>1.9274999999999998</v>
      </c>
      <c r="L185" s="852">
        <f>$H185*_xlfn.XLOOKUP($G185,'Baumaterialien Matériaux'!$A:$A,'Baumaterialien Matériaux'!Y:Y,0,0)</f>
        <v>1.5674999999999998E-2</v>
      </c>
      <c r="M185" s="852">
        <f>$H185*_xlfn.XLOOKUP($G185,'Baumaterialien Matériaux'!$A:$A,'Baumaterialien Matériaux'!AA:AA,0,0)</f>
        <v>0.222</v>
      </c>
      <c r="N185" s="852">
        <f>$H185*_xlfn.XLOOKUP($G185,'Baumaterialien Matériaux'!$A:$A,'Baumaterialien Matériaux'!AB:AB,0,0)</f>
        <v>0.20024999999999998</v>
      </c>
      <c r="O185" s="852">
        <f>$H185*_xlfn.XLOOKUP($G185,'Baumaterialien Matériaux'!$A:$A,'Baumaterialien Matériaux'!AC:AC,0,0)*44/12</f>
        <v>0</v>
      </c>
      <c r="P185" s="852">
        <f>$H185*_xlfn.XLOOKUP($G185,'Baumaterialien Matériaux'!$A:$A,'Baumaterialien Matériaux'!AG:AG,0,0)</f>
        <v>0</v>
      </c>
      <c r="Q185" s="1111">
        <f>$H185*_xlfn.XLOOKUP($G185,'Baumaterialien Matériaux'!$A:$A,'Baumaterialien Matériaux'!AH:AH,0,0)</f>
        <v>0</v>
      </c>
      <c r="T185" s="1098"/>
    </row>
    <row r="186" spans="1:21" ht="15.75" customHeight="1">
      <c r="A186" s="1178"/>
      <c r="B186" s="1939"/>
      <c r="C186" s="137" t="s">
        <v>656</v>
      </c>
      <c r="D186" s="166" t="str">
        <f>VLOOKUP(G186,'Baumaterialien Matériaux'!$A$10:$AD$432,30,FALSE)</f>
        <v>Profil en acier, nu</v>
      </c>
      <c r="E186" s="1403"/>
      <c r="F186" s="166" t="str">
        <f>_xlfn.XLOOKUP($G186,'Baumaterialien Matériaux'!$A:$A,'Baumaterialien Matériaux'!G:G,0,0)</f>
        <v>kg</v>
      </c>
      <c r="G186" s="508" t="s">
        <v>748</v>
      </c>
      <c r="H186" s="167">
        <v>2.2000000000000002</v>
      </c>
      <c r="I186" s="166"/>
      <c r="J186" s="514">
        <v>30</v>
      </c>
      <c r="K186" s="852">
        <f>$H186*_xlfn.XLOOKUP($G186,'Baumaterialien Matériaux'!$A:$A,'Baumaterialien Matériaux'!V:V,0,0)</f>
        <v>7.370000000000001</v>
      </c>
      <c r="L186" s="852">
        <f>$H186*_xlfn.XLOOKUP($G186,'Baumaterialien Matériaux'!$A:$A,'Baumaterialien Matériaux'!Y:Y,0,0)</f>
        <v>5.9840000000000004E-2</v>
      </c>
      <c r="M186" s="852">
        <f>$H186*_xlfn.XLOOKUP($G186,'Baumaterialien Matériaux'!$A:$A,'Baumaterialien Matériaux'!AA:AA,0,0)</f>
        <v>1.6060000000000001</v>
      </c>
      <c r="N186" s="852">
        <f>$H186*_xlfn.XLOOKUP($G186,'Baumaterialien Matériaux'!$A:$A,'Baumaterialien Matériaux'!AB:AB,0,0)</f>
        <v>1.5246000000000003E-2</v>
      </c>
      <c r="O186" s="852">
        <f>$H186*_xlfn.XLOOKUP($G186,'Baumaterialien Matériaux'!$A:$A,'Baumaterialien Matériaux'!AC:AC,0,0)*44/12</f>
        <v>0</v>
      </c>
      <c r="P186" s="852">
        <f>$H186*_xlfn.XLOOKUP($G186,'Baumaterialien Matériaux'!$A:$A,'Baumaterialien Matériaux'!AG:AG,0,0)</f>
        <v>0</v>
      </c>
      <c r="Q186" s="1111">
        <f>$H186*_xlfn.XLOOKUP($G186,'Baumaterialien Matériaux'!$A:$A,'Baumaterialien Matériaux'!AH:AH,0,0)</f>
        <v>0</v>
      </c>
      <c r="T186" s="1098"/>
    </row>
    <row r="187" spans="1:21" s="572" customFormat="1" ht="16.5" customHeight="1" thickBot="1">
      <c r="A187" s="590"/>
      <c r="B187" s="619"/>
      <c r="G187" s="573"/>
      <c r="J187" s="871">
        <v>30</v>
      </c>
      <c r="K187" s="861">
        <f t="shared" ref="K187:L187" si="66">SUM(K183:K186)</f>
        <v>103.87349999999999</v>
      </c>
      <c r="L187" s="861">
        <f t="shared" si="66"/>
        <v>0.203627</v>
      </c>
      <c r="M187" s="861">
        <f>SUM(M183:M186)</f>
        <v>27.308800000000005</v>
      </c>
      <c r="N187" s="861">
        <f>SUM(N183:N186)</f>
        <v>0.2481363</v>
      </c>
      <c r="O187" s="861">
        <f>SUM(O183:O186)</f>
        <v>0</v>
      </c>
      <c r="P187" s="861">
        <f>SUM(P183:P186)</f>
        <v>0</v>
      </c>
      <c r="Q187" s="861">
        <f>SUM(Q183:Q186)</f>
        <v>0</v>
      </c>
      <c r="R187" s="133"/>
      <c r="S187" s="1190">
        <f>(M187+N187)/J186</f>
        <v>0.91856454333333348</v>
      </c>
      <c r="T187" s="668"/>
    </row>
    <row r="188" spans="1:21" ht="16.5" customHeight="1" thickTop="1">
      <c r="A188" s="138"/>
    </row>
    <row r="191" spans="1:21" s="645" customFormat="1">
      <c r="A191" s="643" t="s">
        <v>541</v>
      </c>
      <c r="B191" s="643"/>
      <c r="C191" s="643"/>
      <c r="D191" s="643"/>
      <c r="E191" s="643"/>
      <c r="F191" s="643"/>
      <c r="G191" s="643"/>
      <c r="H191" s="958"/>
      <c r="I191" s="644"/>
      <c r="N191" s="884"/>
      <c r="O191" s="884"/>
      <c r="P191" s="884"/>
      <c r="Q191" s="884"/>
      <c r="R191" s="134"/>
      <c r="S191" s="134"/>
      <c r="T191" s="134"/>
    </row>
  </sheetData>
  <customSheetViews>
    <customSheetView guid="{B32447E2-AB5B-4CBB-881B-FF11349CA4D6}" scale="91">
      <pane ySplit="1" topLeftCell="A50" activePane="bottomLeft" state="frozen"/>
      <selection pane="bottomLeft" activeCell="L57" sqref="L57:L60"/>
      <pageMargins left="0" right="0" top="0" bottom="0" header="0" footer="0"/>
      <pageSetup paperSize="9" orientation="portrait" r:id="rId1"/>
    </customSheetView>
    <customSheetView guid="{9FA74287-E657-475B-BF4B-3C8C757714AE}" scale="91">
      <pane ySplit="1" topLeftCell="A50" activePane="bottomLeft" state="frozen"/>
      <selection pane="bottomLeft" activeCell="L57" sqref="L57:L60"/>
      <pageMargins left="0" right="0" top="0" bottom="0" header="0" footer="0"/>
      <pageSetup paperSize="9" orientation="portrait" r:id="rId2"/>
    </customSheetView>
    <customSheetView guid="{54A7C567-FA7D-467E-B353-ECB5E61AE756}" topLeftCell="B1">
      <selection activeCell="T13" sqref="T1:AS1048576"/>
      <pageMargins left="0" right="0" top="0" bottom="0" header="0" footer="0"/>
      <pageSetup paperSize="9" orientation="portrait" r:id="rId3"/>
    </customSheetView>
  </customSheetViews>
  <mergeCells count="25">
    <mergeCell ref="B183:B186"/>
    <mergeCell ref="B156:B158"/>
    <mergeCell ref="T18:T19"/>
    <mergeCell ref="T156:T158"/>
    <mergeCell ref="T161:T162"/>
    <mergeCell ref="T171:T174"/>
    <mergeCell ref="B161:B162"/>
    <mergeCell ref="B68:B74"/>
    <mergeCell ref="B177:B178"/>
    <mergeCell ref="B89:B90"/>
    <mergeCell ref="B93:B94"/>
    <mergeCell ref="B150:B151"/>
    <mergeCell ref="B30:B32"/>
    <mergeCell ref="B35:B36"/>
    <mergeCell ref="B50:B52"/>
    <mergeCell ref="R50:R52"/>
    <mergeCell ref="S50:S52"/>
    <mergeCell ref="T50:T52"/>
    <mergeCell ref="B5:B7"/>
    <mergeCell ref="B14:B15"/>
    <mergeCell ref="T5:T7"/>
    <mergeCell ref="T14:T15"/>
    <mergeCell ref="B25:B27"/>
    <mergeCell ref="B18:B19"/>
    <mergeCell ref="B10:B11"/>
  </mergeCells>
  <phoneticPr fontId="68" type="noConversion"/>
  <pageMargins left="0" right="0" top="0" bottom="0" header="0" footer="0"/>
  <pageSetup paperSize="9" orientation="portrait" r:id="rId4"/>
  <drawing r:id="rId5"/>
  <legacy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8">
    <pageSetUpPr autoPageBreaks="0"/>
  </sheetPr>
  <dimension ref="A1:X51"/>
  <sheetViews>
    <sheetView workbookViewId="0"/>
  </sheetViews>
  <sheetFormatPr baseColWidth="10" defaultColWidth="10.75" defaultRowHeight="14.25" outlineLevelCol="1"/>
  <cols>
    <col min="1" max="1" width="49.75" style="3" customWidth="1"/>
    <col min="2" max="2" width="13.25" style="3" customWidth="1"/>
    <col min="3" max="3" width="5.25" style="3" customWidth="1"/>
    <col min="4" max="4" width="55.75" style="3" bestFit="1" customWidth="1"/>
    <col min="5" max="5" width="11.75" style="3" customWidth="1"/>
    <col min="6" max="7" width="10.75" style="3"/>
    <col min="8" max="8" width="3.5" style="3" customWidth="1"/>
    <col min="9" max="9" width="10.75" style="3"/>
    <col min="10" max="11" width="10.25" style="134" customWidth="1" outlineLevel="1"/>
    <col min="12" max="14" width="10.75" style="134"/>
    <col min="15" max="16" width="0" style="134" hidden="1" customWidth="1"/>
    <col min="17" max="18" width="10.75" style="134" hidden="1" customWidth="1" outlineLevel="1"/>
    <col min="19" max="19" width="0" style="134" hidden="1" customWidth="1" collapsed="1"/>
    <col min="20" max="20" width="0" style="134" hidden="1" customWidth="1"/>
    <col min="21" max="16384" width="10.75" style="3"/>
  </cols>
  <sheetData>
    <row r="1" spans="1:24" ht="90">
      <c r="B1" s="1" t="s">
        <v>502</v>
      </c>
      <c r="C1" s="1" t="s">
        <v>503</v>
      </c>
      <c r="D1" s="1" t="s">
        <v>504</v>
      </c>
      <c r="E1" s="125" t="s">
        <v>505</v>
      </c>
      <c r="F1" s="1" t="s">
        <v>506</v>
      </c>
      <c r="G1" s="1" t="s">
        <v>507</v>
      </c>
      <c r="I1" s="125" t="s">
        <v>508</v>
      </c>
      <c r="J1" s="133" t="s">
        <v>509</v>
      </c>
      <c r="K1" s="133" t="s">
        <v>510</v>
      </c>
      <c r="L1" s="133" t="s">
        <v>511</v>
      </c>
      <c r="M1" s="133" t="s">
        <v>512</v>
      </c>
      <c r="N1" s="125" t="s">
        <v>513</v>
      </c>
      <c r="O1" s="125" t="s">
        <v>514</v>
      </c>
      <c r="P1" s="125" t="s">
        <v>515</v>
      </c>
      <c r="Q1" s="133" t="s">
        <v>903</v>
      </c>
      <c r="R1" s="133" t="s">
        <v>904</v>
      </c>
      <c r="S1" s="133" t="s">
        <v>905</v>
      </c>
      <c r="T1" s="133" t="s">
        <v>906</v>
      </c>
    </row>
    <row r="2" spans="1:24" ht="17.25">
      <c r="A2" s="132" t="s">
        <v>471</v>
      </c>
      <c r="B2" s="132"/>
      <c r="C2" s="132"/>
      <c r="D2" s="132"/>
      <c r="E2" s="132"/>
      <c r="F2" s="132"/>
      <c r="G2" s="133" t="s">
        <v>635</v>
      </c>
      <c r="H2" s="132"/>
      <c r="I2" s="134"/>
    </row>
    <row r="3" spans="1:24">
      <c r="A3" s="166" t="s">
        <v>907</v>
      </c>
      <c r="B3" s="166" t="s">
        <v>908</v>
      </c>
      <c r="C3" s="166"/>
      <c r="D3" s="166" t="s">
        <v>909</v>
      </c>
      <c r="E3" s="166" t="str">
        <f>_xlfn.XLOOKUP($F3,'Gebäudetechnik Technique du bât'!$A:$A,'Gebäudetechnik Technique du bât'!$G:$G,0)</f>
        <v>m2</v>
      </c>
      <c r="F3" s="525" t="s">
        <v>910</v>
      </c>
      <c r="G3" s="166">
        <v>1</v>
      </c>
      <c r="H3" s="166"/>
      <c r="I3" s="166">
        <v>30</v>
      </c>
      <c r="J3" s="802">
        <f>$G3*VLOOKUP(F3,'Gebäudetechnik Technique du bât'!$A$10:$W$403,18,FALSE)</f>
        <v>53.2</v>
      </c>
      <c r="K3" s="802">
        <f>G3*VLOOKUP(F3,'Gebäudetechnik Technique du bât'!$A$10:$W$403,19,FALSE)</f>
        <v>0.71799999999999997</v>
      </c>
      <c r="L3" s="802">
        <f>G3*VLOOKUP(F3,'Gebäudetechnik Technique du bât'!$A$10:$W$403,21,FALSE)</f>
        <v>9.5399999999999991</v>
      </c>
      <c r="M3" s="802">
        <f>G3*VLOOKUP(F3,'Gebäudetechnik Technique du bât'!$A$10:$W$403,22,FALSE)</f>
        <v>3.42</v>
      </c>
      <c r="N3" s="802"/>
      <c r="O3" s="802"/>
      <c r="P3" s="802"/>
      <c r="Q3" s="802">
        <f t="shared" ref="Q3:Q4" si="0">J3/$I3</f>
        <v>1.7733333333333334</v>
      </c>
      <c r="R3" s="802">
        <f t="shared" ref="R3:T4" si="1">K3/$I3</f>
        <v>2.3933333333333331E-2</v>
      </c>
      <c r="S3" s="802">
        <f t="shared" si="1"/>
        <v>0.31799999999999995</v>
      </c>
      <c r="T3" s="802">
        <f t="shared" si="1"/>
        <v>0.114</v>
      </c>
      <c r="W3" s="3">
        <f>(L3+M3)/I3</f>
        <v>0.432</v>
      </c>
      <c r="X3" s="3">
        <v>0.42</v>
      </c>
    </row>
    <row r="4" spans="1:24">
      <c r="A4" s="166" t="s">
        <v>911</v>
      </c>
      <c r="B4" s="166" t="s">
        <v>912</v>
      </c>
      <c r="C4" s="166"/>
      <c r="D4" s="166" t="s">
        <v>909</v>
      </c>
      <c r="E4" s="166" t="str">
        <f>_xlfn.XLOOKUP($F4,'Gebäudetechnik Technique du bât'!$A:$A,'Gebäudetechnik Technique du bât'!$G:$G,0)</f>
        <v>m2</v>
      </c>
      <c r="F4" s="525" t="s">
        <v>913</v>
      </c>
      <c r="G4" s="166">
        <v>1</v>
      </c>
      <c r="H4" s="166"/>
      <c r="I4" s="166">
        <v>30</v>
      </c>
      <c r="J4" s="802">
        <f>$G4*VLOOKUP(F4,'Gebäudetechnik Technique du bât'!$A$10:$W$403,18,FALSE)</f>
        <v>105</v>
      </c>
      <c r="K4" s="802">
        <f>G4*VLOOKUP(F4,'Gebäudetechnik Technique du bât'!$A$10:$W$403,19,FALSE)</f>
        <v>0.81100000000000005</v>
      </c>
      <c r="L4" s="802">
        <f>G4*VLOOKUP(F4,'Gebäudetechnik Technique du bât'!$A$10:$W$403,21,FALSE)</f>
        <v>22.6</v>
      </c>
      <c r="M4" s="802">
        <f>G4*VLOOKUP(F4,'Gebäudetechnik Technique du bât'!$A$10:$W$403,22,FALSE)</f>
        <v>1.47</v>
      </c>
      <c r="N4" s="802"/>
      <c r="O4" s="802"/>
      <c r="P4" s="802"/>
      <c r="Q4" s="802">
        <f t="shared" si="0"/>
        <v>3.5</v>
      </c>
      <c r="R4" s="802">
        <f t="shared" si="1"/>
        <v>2.7033333333333336E-2</v>
      </c>
      <c r="S4" s="802">
        <f t="shared" si="1"/>
        <v>0.75333333333333341</v>
      </c>
      <c r="T4" s="802">
        <f t="shared" si="1"/>
        <v>4.9000000000000002E-2</v>
      </c>
      <c r="W4" s="3">
        <f>(L4+M4)/I4</f>
        <v>0.80233333333333334</v>
      </c>
      <c r="X4" s="3">
        <v>0.8</v>
      </c>
    </row>
    <row r="5" spans="1:24">
      <c r="A5" s="166" t="s">
        <v>472</v>
      </c>
      <c r="B5" s="166" t="s">
        <v>914</v>
      </c>
      <c r="C5" s="166"/>
      <c r="D5" s="166" t="s">
        <v>237</v>
      </c>
      <c r="E5" s="166" t="str">
        <f>_xlfn.XLOOKUP($F5,'Gebäudetechnik Technique du bât'!$A:$A,'Gebäudetechnik Technique du bât'!$G:$G,0)</f>
        <v>kWp</v>
      </c>
      <c r="F5" s="525" t="s">
        <v>915</v>
      </c>
      <c r="G5" s="166">
        <v>1</v>
      </c>
      <c r="H5" s="166"/>
      <c r="I5" s="166">
        <v>30</v>
      </c>
      <c r="J5" s="802">
        <f>0.14*$G5*VLOOKUP(F5,'Gebäudetechnik Technique du bât'!$A$10:$W$403,18,FALSE)</f>
        <v>568.40000000000009</v>
      </c>
      <c r="K5" s="802">
        <v>0</v>
      </c>
      <c r="L5" s="802">
        <f>G5*VLOOKUP(F5,'Gebäudetechnik Technique du bât'!$A$10:$W$403,21,FALSE)</f>
        <v>1140</v>
      </c>
      <c r="M5" s="802">
        <v>0</v>
      </c>
      <c r="N5" s="802"/>
      <c r="O5" s="802"/>
      <c r="P5" s="802"/>
      <c r="Q5" s="802">
        <f>J5/$I5</f>
        <v>18.946666666666669</v>
      </c>
      <c r="R5" s="802" t="s">
        <v>916</v>
      </c>
      <c r="S5" s="802">
        <f>L5/$I5</f>
        <v>38</v>
      </c>
      <c r="T5" s="802">
        <v>0</v>
      </c>
      <c r="U5" s="3" t="s">
        <v>93</v>
      </c>
      <c r="V5" s="138" t="s">
        <v>917</v>
      </c>
      <c r="W5" s="3">
        <f>(L5+M5)/I5</f>
        <v>38</v>
      </c>
      <c r="X5" s="3">
        <f>10.84/0.14</f>
        <v>77.428571428571416</v>
      </c>
    </row>
    <row r="6" spans="1:24">
      <c r="F6" s="136"/>
      <c r="J6" s="804"/>
      <c r="K6" s="804"/>
      <c r="L6" s="804"/>
      <c r="M6" s="804"/>
      <c r="N6" s="804"/>
      <c r="O6" s="804"/>
      <c r="P6" s="804"/>
    </row>
    <row r="7" spans="1:24" ht="17.25">
      <c r="A7" s="132" t="s">
        <v>918</v>
      </c>
      <c r="B7" s="132"/>
      <c r="C7" s="132"/>
      <c r="D7" s="132"/>
      <c r="E7" s="132"/>
      <c r="F7" s="132"/>
      <c r="G7" s="133" t="s">
        <v>635</v>
      </c>
      <c r="H7" s="132"/>
      <c r="I7" s="134"/>
    </row>
    <row r="8" spans="1:24" ht="15">
      <c r="A8" s="166" t="s">
        <v>919</v>
      </c>
      <c r="B8" s="166" t="s">
        <v>920</v>
      </c>
      <c r="C8" s="166"/>
      <c r="D8" s="166" t="s">
        <v>921</v>
      </c>
      <c r="E8" s="166" t="str">
        <f>_xlfn.XLOOKUP($F8,'Gebäudetechnik Technique du bât'!$A:$A,'Gebäudetechnik Technique du bât'!$G:$G,0)</f>
        <v>m2</v>
      </c>
      <c r="F8" s="121" t="s">
        <v>922</v>
      </c>
      <c r="G8" s="1287">
        <v>1</v>
      </c>
      <c r="H8" s="166"/>
      <c r="I8" s="516">
        <v>20</v>
      </c>
      <c r="J8" s="802">
        <f>$G8*VLOOKUP(F8,'Gebäudetechnik Technique du bât'!$A$10:$W$403,18,FALSE)</f>
        <v>3.16</v>
      </c>
      <c r="K8" s="802">
        <f>G8*VLOOKUP(F8,'Gebäudetechnik Technique du bât'!$A$10:$W$403,19,FALSE)</f>
        <v>6.9300000000000004E-3</v>
      </c>
      <c r="L8" s="802">
        <f>G8*VLOOKUP(F8,'Gebäudetechnik Technique du bât'!$A$10:$W$403,21,FALSE)</f>
        <v>0.84899999999999998</v>
      </c>
      <c r="M8" s="802">
        <f>G8*VLOOKUP(F8,'Gebäudetechnik Technique du bât'!$A$10:$W$403,22,FALSE)</f>
        <v>9.6100000000000005E-3</v>
      </c>
      <c r="N8" s="802"/>
      <c r="O8" s="802"/>
      <c r="P8" s="802"/>
      <c r="Q8" s="806">
        <f>J8/$I8</f>
        <v>0.158</v>
      </c>
      <c r="R8" s="806">
        <f>K8/$I8</f>
        <v>3.4650000000000002E-4</v>
      </c>
      <c r="S8" s="806">
        <f>L8/$I8</f>
        <v>4.2450000000000002E-2</v>
      </c>
      <c r="T8" s="806">
        <f>M8/$I8</f>
        <v>4.8050000000000002E-4</v>
      </c>
      <c r="W8" s="3">
        <f>(L8+M8)/I8</f>
        <v>4.2930499999999996E-2</v>
      </c>
      <c r="X8" s="3">
        <v>0.08</v>
      </c>
    </row>
    <row r="9" spans="1:24" ht="15">
      <c r="A9" s="1"/>
      <c r="G9" s="2"/>
    </row>
    <row r="10" spans="1:24" ht="15">
      <c r="A10" s="166" t="s">
        <v>923</v>
      </c>
      <c r="B10" s="166" t="s">
        <v>924</v>
      </c>
      <c r="C10" s="166"/>
      <c r="D10" s="166" t="s">
        <v>921</v>
      </c>
      <c r="E10" s="166" t="str">
        <f>_xlfn.XLOOKUP($F10,'Gebäudetechnik Technique du bât'!$A:$A,'Gebäudetechnik Technique du bât'!$G:$G,0)</f>
        <v>m2</v>
      </c>
      <c r="F10" s="525" t="s">
        <v>925</v>
      </c>
      <c r="G10" s="1287">
        <v>1</v>
      </c>
      <c r="H10" s="166"/>
      <c r="I10" s="516">
        <v>20</v>
      </c>
      <c r="J10" s="802">
        <f>$G10*VLOOKUP(F10,'Gebäudetechnik Technique du bât'!$A$10:$W$403,18,FALSE)</f>
        <v>9.48</v>
      </c>
      <c r="K10" s="802">
        <f>G10*VLOOKUP(F10,'Gebäudetechnik Technique du bât'!$A$10:$W$403,19,FALSE)</f>
        <v>2.0799999999999999E-2</v>
      </c>
      <c r="L10" s="802">
        <f>G10*VLOOKUP(F10,'Gebäudetechnik Technique du bât'!$A$10:$W$403,21,FALSE)</f>
        <v>2.5499999999999998</v>
      </c>
      <c r="M10" s="802">
        <f>G10*VLOOKUP(F10,'Gebäudetechnik Technique du bât'!$A$10:$W$403,22,FALSE)</f>
        <v>2.8799999999999999E-2</v>
      </c>
      <c r="N10" s="802"/>
      <c r="O10" s="802"/>
      <c r="P10" s="802"/>
      <c r="Q10" s="806">
        <f>J10/$I10</f>
        <v>0.47400000000000003</v>
      </c>
      <c r="R10" s="806">
        <f>K10/$I10</f>
        <v>1.0399999999999999E-3</v>
      </c>
      <c r="S10" s="806">
        <f>L10/$I10</f>
        <v>0.1275</v>
      </c>
      <c r="T10" s="806">
        <f>M10/$I10</f>
        <v>1.4399999999999999E-3</v>
      </c>
      <c r="W10" s="3">
        <f>(L10+M10)/I10</f>
        <v>0.12894</v>
      </c>
    </row>
    <row r="11" spans="1:24" ht="15">
      <c r="F11" s="136"/>
      <c r="I11" s="1"/>
      <c r="J11" s="804"/>
      <c r="K11" s="804"/>
      <c r="L11" s="804"/>
      <c r="M11" s="804"/>
      <c r="N11" s="804"/>
      <c r="O11" s="804"/>
      <c r="P11" s="804"/>
      <c r="Q11" s="668"/>
      <c r="R11" s="668"/>
      <c r="S11" s="668"/>
      <c r="T11" s="668"/>
    </row>
    <row r="12" spans="1:24" ht="15">
      <c r="A12" s="166" t="s">
        <v>926</v>
      </c>
      <c r="B12" s="166" t="s">
        <v>927</v>
      </c>
      <c r="C12" s="166"/>
      <c r="D12" s="166" t="s">
        <v>921</v>
      </c>
      <c r="E12" s="166" t="str">
        <f>_xlfn.XLOOKUP($F12,'Gebäudetechnik Technique du bât'!$A:$A,'Gebäudetechnik Technique du bât'!$G:$G,0)</f>
        <v>m2</v>
      </c>
      <c r="F12" s="121" t="s">
        <v>928</v>
      </c>
      <c r="G12" s="1287">
        <v>1</v>
      </c>
      <c r="H12" s="166"/>
      <c r="I12" s="516">
        <v>20</v>
      </c>
      <c r="J12" s="802">
        <f>$G12*VLOOKUP(F12,'Gebäudetechnik Technique du bât'!$A$10:$W$403,18,FALSE)</f>
        <v>15.8</v>
      </c>
      <c r="K12" s="802">
        <f>G12*VLOOKUP(F12,'Gebäudetechnik Technique du bât'!$A$10:$W$403,19,FALSE)</f>
        <v>3.4599999999999999E-2</v>
      </c>
      <c r="L12" s="802">
        <f>G12*VLOOKUP(F12,'Gebäudetechnik Technique du bât'!$A$10:$W$403,21,FALSE)</f>
        <v>4.24</v>
      </c>
      <c r="M12" s="802">
        <f>G12*VLOOKUP(F12,'Gebäudetechnik Technique du bât'!$A$10:$W$403,22,FALSE)</f>
        <v>4.8000000000000001E-2</v>
      </c>
      <c r="N12" s="802"/>
      <c r="O12" s="802"/>
      <c r="P12" s="802"/>
      <c r="Q12" s="806">
        <f>J12/$I12</f>
        <v>0.79</v>
      </c>
      <c r="R12" s="806">
        <f>K12/$I12</f>
        <v>1.73E-3</v>
      </c>
      <c r="S12" s="806">
        <f>L12/$I12</f>
        <v>0.21200000000000002</v>
      </c>
      <c r="T12" s="806">
        <f>M12/$I12</f>
        <v>2.4000000000000002E-3</v>
      </c>
      <c r="W12" s="3">
        <f>(L12+M12)/I12</f>
        <v>0.21440000000000001</v>
      </c>
    </row>
    <row r="13" spans="1:24" ht="15">
      <c r="F13" s="135"/>
      <c r="I13" s="1"/>
      <c r="J13" s="804"/>
      <c r="K13" s="804"/>
      <c r="L13" s="804"/>
      <c r="M13" s="804"/>
      <c r="N13" s="804"/>
      <c r="O13" s="804"/>
      <c r="P13" s="804"/>
      <c r="Q13" s="668"/>
      <c r="R13" s="668"/>
      <c r="S13" s="668"/>
      <c r="T13" s="668"/>
    </row>
    <row r="14" spans="1:24" ht="15">
      <c r="A14" s="424" t="s">
        <v>2712</v>
      </c>
      <c r="D14" s="1764" t="s">
        <v>921</v>
      </c>
      <c r="E14" s="3" t="s">
        <v>2704</v>
      </c>
      <c r="F14" s="121" t="s">
        <v>2707</v>
      </c>
      <c r="G14" s="3">
        <f>1/'Outil simplifié'!D12</f>
        <v>6.2500000000000003E-3</v>
      </c>
      <c r="I14" s="1">
        <v>20</v>
      </c>
      <c r="J14" s="802">
        <f>$G14*VLOOKUP(F14,'Gebäudetechnik Technique du bât'!$A$10:$W$403,18,FALSE)</f>
        <v>27.6875</v>
      </c>
      <c r="K14" s="802">
        <f>G14*VLOOKUP(F14,'Gebäudetechnik Technique du bât'!$A$10:$W$403,19,FALSE)</f>
        <v>0.21875</v>
      </c>
      <c r="L14" s="802">
        <f>G14*VLOOKUP(F14,'Gebäudetechnik Technique du bât'!$A$10:$W$403,21,FALSE)</f>
        <v>12.0625</v>
      </c>
      <c r="M14" s="802">
        <f>G14*VLOOKUP(F14,'Gebäudetechnik Technique du bât'!$A$10:$W$403,22,FALSE)</f>
        <v>2.9562500000000003</v>
      </c>
      <c r="N14" s="802"/>
      <c r="O14" s="804"/>
      <c r="P14" s="804"/>
      <c r="Q14" s="668"/>
      <c r="R14" s="668"/>
      <c r="S14" s="668"/>
      <c r="T14" s="668"/>
    </row>
    <row r="15" spans="1:24" ht="15">
      <c r="A15" s="424"/>
      <c r="F15" s="135"/>
      <c r="I15" s="1"/>
      <c r="J15" s="804"/>
      <c r="K15" s="804"/>
      <c r="L15" s="804"/>
      <c r="M15" s="804"/>
      <c r="N15" s="804"/>
      <c r="O15" s="804"/>
      <c r="P15" s="804"/>
      <c r="Q15" s="668"/>
      <c r="R15" s="668"/>
      <c r="S15" s="668"/>
      <c r="T15" s="668"/>
    </row>
    <row r="16" spans="1:24" ht="15">
      <c r="A16" s="424" t="s">
        <v>2722</v>
      </c>
      <c r="D16" s="1764" t="s">
        <v>921</v>
      </c>
      <c r="E16" s="3" t="s">
        <v>2704</v>
      </c>
      <c r="F16" s="121" t="s">
        <v>2717</v>
      </c>
      <c r="G16" s="3">
        <f>1/'Outil simplifié'!D12</f>
        <v>6.2500000000000003E-3</v>
      </c>
      <c r="I16" s="1">
        <v>20</v>
      </c>
      <c r="J16" s="802">
        <f>$G16*VLOOKUP(F16,'Gebäudetechnik Technique du bât'!$A$10:$W$403,18,FALSE)</f>
        <v>44.1875</v>
      </c>
      <c r="K16" s="802">
        <f>G16*VLOOKUP(F16,'Gebäudetechnik Technique du bât'!$A$10:$W$403,19,FALSE)</f>
        <v>0.35750000000000004</v>
      </c>
      <c r="L16" s="802">
        <f>G16*VLOOKUP(F16,'Gebäudetechnik Technique du bât'!$A$10:$W$403,21,FALSE)</f>
        <v>19.875</v>
      </c>
      <c r="M16" s="802">
        <f>G16*VLOOKUP(F16,'Gebäudetechnik Technique du bât'!$A$10:$W$403,22,FALSE)</f>
        <v>5.15</v>
      </c>
      <c r="N16" s="802"/>
      <c r="O16" s="804"/>
      <c r="P16" s="804"/>
      <c r="Q16" s="668"/>
      <c r="R16" s="668"/>
      <c r="S16" s="668"/>
      <c r="T16" s="668"/>
    </row>
    <row r="17" spans="1:24" ht="15">
      <c r="A17" s="424"/>
      <c r="F17" s="135"/>
      <c r="I17" s="1"/>
      <c r="J17" s="804"/>
      <c r="K17" s="804"/>
      <c r="L17" s="804"/>
      <c r="M17" s="804"/>
      <c r="N17" s="804"/>
      <c r="O17" s="804"/>
      <c r="P17" s="804"/>
      <c r="Q17" s="668"/>
      <c r="R17" s="668"/>
      <c r="S17" s="668"/>
      <c r="T17" s="668"/>
    </row>
    <row r="18" spans="1:24" ht="15">
      <c r="A18" s="424" t="s">
        <v>4436</v>
      </c>
      <c r="D18" s="1764" t="s">
        <v>921</v>
      </c>
      <c r="E18" s="3" t="s">
        <v>2704</v>
      </c>
      <c r="F18" s="135"/>
      <c r="G18" s="3">
        <f>1/'Outil simplifié'!D12</f>
        <v>6.2500000000000003E-3</v>
      </c>
      <c r="I18" s="1">
        <v>20</v>
      </c>
      <c r="J18" s="804">
        <f>J14/PAC!$D6*PAC!$D7</f>
        <v>31.788031229877653</v>
      </c>
      <c r="K18" s="804">
        <f>K14/PAC!$D6*PAC!$D7</f>
        <v>0.25114697359948485</v>
      </c>
      <c r="L18" s="804">
        <f>PAC!G7*G18</f>
        <v>15.6875</v>
      </c>
      <c r="M18" s="804">
        <f>M14/PAC!$D6*PAC!$D7</f>
        <v>3.3940719575016098</v>
      </c>
      <c r="N18" s="804"/>
      <c r="O18" s="804"/>
      <c r="P18" s="804"/>
      <c r="Q18" s="668"/>
      <c r="R18" s="668"/>
      <c r="S18" s="668"/>
      <c r="T18" s="668"/>
    </row>
    <row r="19" spans="1:24" ht="15">
      <c r="A19" s="424"/>
      <c r="F19" s="135"/>
      <c r="I19" s="1"/>
      <c r="J19" s="804"/>
      <c r="K19" s="804"/>
      <c r="L19" s="804"/>
      <c r="M19" s="804"/>
      <c r="N19" s="804"/>
      <c r="O19" s="804"/>
      <c r="P19" s="804"/>
      <c r="Q19" s="668"/>
      <c r="R19" s="668"/>
      <c r="S19" s="668"/>
      <c r="T19" s="668"/>
    </row>
    <row r="20" spans="1:24" ht="15">
      <c r="A20" s="424" t="s">
        <v>4437</v>
      </c>
      <c r="D20" s="1764" t="s">
        <v>921</v>
      </c>
      <c r="E20" s="3" t="s">
        <v>2704</v>
      </c>
      <c r="F20" s="135"/>
      <c r="G20" s="3">
        <f>1/'Outil simplifié'!D12</f>
        <v>6.2500000000000003E-3</v>
      </c>
      <c r="I20" s="1">
        <v>20</v>
      </c>
      <c r="J20" s="804">
        <f>J16/PAC!$D3*PAC!$D4</f>
        <v>46.69324403597966</v>
      </c>
      <c r="K20" s="804">
        <f>K16/PAC!$D3*PAC!$D4</f>
        <v>0.37777278060226838</v>
      </c>
      <c r="L20" s="804">
        <f>PAC!G4*G20</f>
        <v>23.6875</v>
      </c>
      <c r="M20" s="804">
        <f>M16/PAC!$D3*PAC!$D4</f>
        <v>5.4420414548298783</v>
      </c>
      <c r="N20" s="804"/>
      <c r="O20" s="804"/>
      <c r="P20" s="804"/>
      <c r="Q20" s="668"/>
      <c r="R20" s="668"/>
      <c r="S20" s="668"/>
      <c r="T20" s="668"/>
    </row>
    <row r="21" spans="1:24" ht="15">
      <c r="A21" s="424"/>
      <c r="F21" s="135"/>
      <c r="I21" s="1"/>
      <c r="J21" s="804"/>
      <c r="K21" s="804"/>
      <c r="L21" s="804"/>
      <c r="M21" s="804"/>
      <c r="N21" s="804"/>
      <c r="O21" s="804"/>
      <c r="P21" s="804"/>
      <c r="Q21" s="668"/>
      <c r="R21" s="668"/>
      <c r="S21" s="668"/>
      <c r="T21" s="668"/>
    </row>
    <row r="22" spans="1:24" ht="15">
      <c r="A22" s="424" t="s">
        <v>4438</v>
      </c>
      <c r="D22" s="1764" t="s">
        <v>921</v>
      </c>
      <c r="E22" s="3" t="s">
        <v>2704</v>
      </c>
      <c r="F22" s="135"/>
      <c r="G22" s="3">
        <f>1/'Outil simplifié'!D12</f>
        <v>6.2500000000000003E-3</v>
      </c>
      <c r="I22" s="1">
        <v>20</v>
      </c>
      <c r="J22" s="804">
        <f>J14/PAC!$D6*PAC!$D8</f>
        <v>66.696031873792649</v>
      </c>
      <c r="K22" s="804">
        <f>K14/PAC!$D6*PAC!$D8</f>
        <v>0.52694381841596905</v>
      </c>
      <c r="L22" s="804">
        <f>PAC!G8*G22</f>
        <v>44.25</v>
      </c>
      <c r="M22" s="804">
        <f>M14/PAC!$D6*PAC!$D8</f>
        <v>7.1212693174500972</v>
      </c>
      <c r="N22" s="804"/>
      <c r="O22" s="804"/>
      <c r="P22" s="804"/>
      <c r="Q22" s="668"/>
      <c r="R22" s="668"/>
      <c r="S22" s="668"/>
      <c r="T22" s="668"/>
    </row>
    <row r="23" spans="1:24" ht="15">
      <c r="A23" s="424"/>
      <c r="F23" s="135"/>
      <c r="I23" s="1"/>
      <c r="J23" s="804"/>
      <c r="K23" s="804"/>
      <c r="L23" s="804"/>
      <c r="M23" s="804"/>
      <c r="N23" s="804"/>
      <c r="O23" s="804"/>
      <c r="P23" s="804"/>
      <c r="Q23" s="668"/>
      <c r="R23" s="668"/>
      <c r="S23" s="668"/>
      <c r="T23" s="668"/>
    </row>
    <row r="24" spans="1:24" ht="15">
      <c r="A24" s="424" t="s">
        <v>4439</v>
      </c>
      <c r="D24" s="1764" t="s">
        <v>921</v>
      </c>
      <c r="E24" s="3" t="s">
        <v>2704</v>
      </c>
      <c r="F24" s="135"/>
      <c r="G24" s="3">
        <f>1/'Outil simplifié'!D12</f>
        <v>6.2500000000000003E-3</v>
      </c>
      <c r="I24" s="1">
        <v>20</v>
      </c>
      <c r="J24" s="804">
        <f>J16/PAC!$D3*PAC!$D5</f>
        <v>134.11778940164254</v>
      </c>
      <c r="K24" s="804">
        <f>K16/PAC!$D3*PAC!$D5</f>
        <v>1.0850831052014083</v>
      </c>
      <c r="L24" s="804">
        <f>PAC!G5*G24</f>
        <v>87.5</v>
      </c>
      <c r="M24" s="804">
        <f>M16/PAC!$D3*PAC!$D5</f>
        <v>15.631267109894409</v>
      </c>
      <c r="N24" s="804"/>
      <c r="O24" s="804"/>
      <c r="P24" s="804"/>
      <c r="Q24" s="668"/>
      <c r="R24" s="668"/>
      <c r="S24" s="668"/>
      <c r="T24" s="668"/>
    </row>
    <row r="25" spans="1:24" ht="15">
      <c r="F25" s="135"/>
      <c r="I25" s="1"/>
      <c r="J25" s="804"/>
      <c r="K25" s="804"/>
      <c r="L25" s="804"/>
      <c r="M25" s="804"/>
      <c r="N25" s="804"/>
      <c r="O25" s="804"/>
      <c r="P25" s="804"/>
      <c r="Q25" s="668"/>
      <c r="R25" s="668"/>
      <c r="S25" s="668"/>
      <c r="T25" s="668"/>
    </row>
    <row r="26" spans="1:24" ht="15">
      <c r="A26" s="3" t="s">
        <v>200</v>
      </c>
      <c r="D26" s="1764" t="s">
        <v>921</v>
      </c>
      <c r="E26" s="3" t="s">
        <v>2704</v>
      </c>
      <c r="F26" s="135"/>
      <c r="G26" s="3">
        <f>1/'Outil simplifié'!D12</f>
        <v>6.2500000000000003E-3</v>
      </c>
      <c r="I26" s="1">
        <v>20</v>
      </c>
      <c r="J26" s="804"/>
      <c r="K26" s="804"/>
      <c r="L26" s="804"/>
      <c r="M26" s="804"/>
      <c r="N26" s="804"/>
      <c r="O26" s="804"/>
      <c r="P26" s="804"/>
      <c r="Q26" s="668"/>
      <c r="R26" s="668"/>
      <c r="S26" s="668"/>
      <c r="T26" s="668"/>
    </row>
    <row r="27" spans="1:24" ht="15">
      <c r="A27" s="1"/>
      <c r="G27" s="2"/>
    </row>
    <row r="28" spans="1:24" s="149" customFormat="1">
      <c r="A28" s="517" t="s">
        <v>929</v>
      </c>
      <c r="B28" s="1935" t="s">
        <v>930</v>
      </c>
      <c r="C28" s="166"/>
      <c r="D28" s="166" t="s">
        <v>921</v>
      </c>
      <c r="E28" s="166" t="str">
        <f>_xlfn.XLOOKUP($F28,'Gebäudetechnik Technique du bât'!$A:$A,'Gebäudetechnik Technique du bât'!$G:$G,0)</f>
        <v>m2</v>
      </c>
      <c r="F28" s="526" t="s">
        <v>931</v>
      </c>
      <c r="G28" s="166">
        <v>1</v>
      </c>
      <c r="H28" s="166"/>
      <c r="I28" s="166">
        <v>30</v>
      </c>
      <c r="J28" s="802">
        <f>$G28*VLOOKUP(F28,'Gebäudetechnik Technique du bât'!$A$10:$W$403,18,FALSE)</f>
        <v>11.1</v>
      </c>
      <c r="K28" s="802">
        <f>G28*VLOOKUP(F28,'Gebäudetechnik Technique du bât'!$A$10:$W$403,19,FALSE)</f>
        <v>2.14</v>
      </c>
      <c r="L28" s="802">
        <f>G28*VLOOKUP(F28,'Gebäudetechnik Technique du bât'!$A$10:$W$403,21,FALSE)</f>
        <v>2.77</v>
      </c>
      <c r="M28" s="802">
        <f>G28*VLOOKUP(F28,'Gebäudetechnik Technique du bât'!$A$10:$W$403,22,FALSE)</f>
        <v>0.69499999999999995</v>
      </c>
      <c r="N28" s="802"/>
      <c r="O28" s="802"/>
      <c r="P28" s="802"/>
      <c r="Q28" s="802">
        <f t="shared" ref="Q28:Q29" si="2">J28/$I28</f>
        <v>0.37</v>
      </c>
      <c r="R28" s="802">
        <f t="shared" ref="R28:T29" si="3">K28/$I28</f>
        <v>7.1333333333333332E-2</v>
      </c>
      <c r="S28" s="802">
        <f t="shared" si="3"/>
        <v>9.2333333333333337E-2</v>
      </c>
      <c r="T28" s="802">
        <f t="shared" si="3"/>
        <v>2.3166666666666665E-2</v>
      </c>
      <c r="U28" s="1095"/>
      <c r="V28" s="1095"/>
    </row>
    <row r="29" spans="1:24">
      <c r="B29" s="1952"/>
      <c r="C29" s="137"/>
      <c r="D29" s="166" t="s">
        <v>921</v>
      </c>
      <c r="E29" s="166" t="str">
        <f>_xlfn.XLOOKUP($F29,'Gebäudetechnik Technique du bât'!$A:$A,'Gebäudetechnik Technique du bât'!$G:$G,0)</f>
        <v>m2</v>
      </c>
      <c r="F29" s="525" t="s">
        <v>932</v>
      </c>
      <c r="G29" s="166">
        <v>1</v>
      </c>
      <c r="H29" s="166"/>
      <c r="I29" s="166">
        <v>30</v>
      </c>
      <c r="J29" s="802">
        <f>$G29*VLOOKUP(F29,'Gebäudetechnik Technique du bât'!$A$10:$W$403,18,FALSE)</f>
        <v>21.8</v>
      </c>
      <c r="K29" s="802">
        <f>G29*VLOOKUP(F29,'Gebäudetechnik Technique du bât'!$A$10:$W$403,19,FALSE)</f>
        <v>8.5999999999999993E-2</v>
      </c>
      <c r="L29" s="802">
        <f>G29*VLOOKUP(F29,'Gebäudetechnik Technique du bât'!$A$10:$W$403,21,FALSE)</f>
        <v>3.02</v>
      </c>
      <c r="M29" s="802">
        <f>G29*VLOOKUP(F29,'Gebäudetechnik Technique du bât'!$A$10:$W$403,22,FALSE)</f>
        <v>2.04</v>
      </c>
      <c r="N29" s="802"/>
      <c r="O29" s="802"/>
      <c r="P29" s="802"/>
      <c r="Q29" s="802">
        <f t="shared" si="2"/>
        <v>0.72666666666666668</v>
      </c>
      <c r="R29" s="802">
        <f t="shared" si="3"/>
        <v>2.8666666666666662E-3</v>
      </c>
      <c r="S29" s="802">
        <f t="shared" si="3"/>
        <v>0.10066666666666667</v>
      </c>
      <c r="T29" s="802">
        <f t="shared" si="3"/>
        <v>6.8000000000000005E-2</v>
      </c>
    </row>
    <row r="30" spans="1:24" s="572" customFormat="1" ht="15.75" thickBot="1">
      <c r="B30" s="613"/>
      <c r="I30" s="575">
        <v>30</v>
      </c>
      <c r="J30" s="803">
        <f>SUM(J28:J29)</f>
        <v>32.9</v>
      </c>
      <c r="K30" s="803">
        <f>SUM(K28:K29)</f>
        <v>2.226</v>
      </c>
      <c r="L30" s="803">
        <f>SUM(L28:L29)</f>
        <v>5.79</v>
      </c>
      <c r="M30" s="803">
        <f>SUM(M28:M29)</f>
        <v>2.7349999999999999</v>
      </c>
      <c r="N30" s="803"/>
      <c r="O30" s="803"/>
      <c r="P30" s="803"/>
      <c r="Q30" s="803">
        <f>SUM(Q28:Q29)</f>
        <v>1.0966666666666667</v>
      </c>
      <c r="R30" s="803">
        <f t="shared" ref="R30:T30" si="4">SUM(R28:R29)</f>
        <v>7.4200000000000002E-2</v>
      </c>
      <c r="S30" s="803">
        <f t="shared" si="4"/>
        <v>0.193</v>
      </c>
      <c r="T30" s="803">
        <f t="shared" si="4"/>
        <v>9.1166666666666674E-2</v>
      </c>
      <c r="W30" s="3">
        <f>(L30+M30)/I30</f>
        <v>0.28416666666666668</v>
      </c>
      <c r="X30" s="572">
        <v>0.27</v>
      </c>
    </row>
    <row r="31" spans="1:24" ht="15" thickTop="1"/>
    <row r="32" spans="1:24" s="149" customFormat="1">
      <c r="A32" s="517" t="s">
        <v>933</v>
      </c>
      <c r="B32" s="1953" t="s">
        <v>934</v>
      </c>
      <c r="C32" s="517"/>
      <c r="D32" s="166" t="s">
        <v>921</v>
      </c>
      <c r="E32" s="166" t="str">
        <f>_xlfn.XLOOKUP($F32,'Gebäudetechnik Technique du bât'!$A:$A,'Gebäudetechnik Technique du bât'!$G:$G,0)</f>
        <v>m2</v>
      </c>
      <c r="F32" s="527" t="s">
        <v>935</v>
      </c>
      <c r="G32" s="166">
        <v>1</v>
      </c>
      <c r="H32" s="166"/>
      <c r="I32" s="166">
        <v>30</v>
      </c>
      <c r="J32" s="802">
        <f>$G32*VLOOKUP(F32,'Gebäudetechnik Technique du bât'!$A$10:$W$403,18,FALSE)</f>
        <v>27.3</v>
      </c>
      <c r="K32" s="802">
        <f>G32*VLOOKUP(F32,'Gebäudetechnik Technique du bât'!$A$10:$W$403,19,FALSE)</f>
        <v>2.57</v>
      </c>
      <c r="L32" s="802">
        <f>G32*VLOOKUP(F32,'Gebäudetechnik Technique du bât'!$A$10:$W$403,21,FALSE)</f>
        <v>8.06</v>
      </c>
      <c r="M32" s="802">
        <f>G32*VLOOKUP(F32,'Gebäudetechnik Technique du bât'!$A$10:$W$403,22,FALSE)</f>
        <v>1.08</v>
      </c>
      <c r="N32" s="802"/>
      <c r="O32" s="802"/>
      <c r="P32" s="802"/>
      <c r="Q32" s="802">
        <f t="shared" ref="Q32:Q33" si="5">J32/$I32</f>
        <v>0.91</v>
      </c>
      <c r="R32" s="802">
        <f t="shared" ref="R32:T33" si="6">K32/$I32</f>
        <v>8.5666666666666655E-2</v>
      </c>
      <c r="S32" s="802">
        <f t="shared" si="6"/>
        <v>0.26866666666666666</v>
      </c>
      <c r="T32" s="802">
        <f t="shared" si="6"/>
        <v>3.6000000000000004E-2</v>
      </c>
    </row>
    <row r="33" spans="1:24">
      <c r="A33" s="531"/>
      <c r="B33" s="1954"/>
      <c r="C33" s="531"/>
      <c r="D33" s="166" t="s">
        <v>921</v>
      </c>
      <c r="E33" s="166" t="str">
        <f>_xlfn.XLOOKUP($F33,'Gebäudetechnik Technique du bât'!$A:$A,'Gebäudetechnik Technique du bât'!$G:$G,0)</f>
        <v>m2</v>
      </c>
      <c r="F33" s="527" t="s">
        <v>936</v>
      </c>
      <c r="G33" s="166">
        <v>1</v>
      </c>
      <c r="H33" s="166"/>
      <c r="I33" s="166">
        <v>30</v>
      </c>
      <c r="J33" s="802">
        <f>$G33*VLOOKUP(F33,'Gebäudetechnik Technique du bât'!$A$10:$W$403,18,FALSE)</f>
        <v>21</v>
      </c>
      <c r="K33" s="802">
        <f>G33*VLOOKUP(F33,'Gebäudetechnik Technique du bât'!$A$10:$W$403,19,FALSE)</f>
        <v>2.7099999999999999E-2</v>
      </c>
      <c r="L33" s="802">
        <f>G33*VLOOKUP(F33,'Gebäudetechnik Technique du bât'!$A$10:$W$403,21,FALSE)</f>
        <v>6.48</v>
      </c>
      <c r="M33" s="802">
        <f>G33*VLOOKUP(F33,'Gebäudetechnik Technique du bât'!$A$10:$W$403,22,FALSE)</f>
        <v>2.1999999999999999E-2</v>
      </c>
      <c r="N33" s="802"/>
      <c r="O33" s="802"/>
      <c r="P33" s="802"/>
      <c r="Q33" s="802">
        <f t="shared" si="5"/>
        <v>0.7</v>
      </c>
      <c r="R33" s="802">
        <f t="shared" si="6"/>
        <v>9.0333333333333335E-4</v>
      </c>
      <c r="S33" s="802">
        <f t="shared" si="6"/>
        <v>0.21600000000000003</v>
      </c>
      <c r="T33" s="802">
        <f t="shared" si="6"/>
        <v>7.3333333333333334E-4</v>
      </c>
    </row>
    <row r="34" spans="1:24" s="572" customFormat="1" ht="15.75" thickBot="1">
      <c r="I34" s="574">
        <v>30</v>
      </c>
      <c r="J34" s="803">
        <f>SUM(J32:J33)</f>
        <v>48.3</v>
      </c>
      <c r="K34" s="803">
        <f>SUM(K32:K33)</f>
        <v>2.5970999999999997</v>
      </c>
      <c r="L34" s="803">
        <f>SUM(L32:L33)</f>
        <v>14.540000000000001</v>
      </c>
      <c r="M34" s="803">
        <f>SUM(M32:M33)</f>
        <v>1.1020000000000001</v>
      </c>
      <c r="N34" s="803"/>
      <c r="O34" s="803"/>
      <c r="P34" s="803"/>
      <c r="Q34" s="803">
        <f t="shared" ref="Q34:T34" si="7">SUM(Q32:Q33)</f>
        <v>1.6099999999999999</v>
      </c>
      <c r="R34" s="803">
        <f t="shared" si="7"/>
        <v>8.6569999999999994E-2</v>
      </c>
      <c r="S34" s="803">
        <f t="shared" si="7"/>
        <v>0.48466666666666669</v>
      </c>
      <c r="T34" s="803">
        <f t="shared" si="7"/>
        <v>3.673333333333334E-2</v>
      </c>
      <c r="W34" s="3">
        <f>(L34+M34)/I34</f>
        <v>0.52140000000000009</v>
      </c>
      <c r="X34" s="572">
        <v>0.44</v>
      </c>
    </row>
    <row r="35" spans="1:24" ht="15" thickTop="1">
      <c r="E35" s="166"/>
    </row>
    <row r="36" spans="1:24" ht="15">
      <c r="A36" s="519" t="s">
        <v>325</v>
      </c>
      <c r="B36" s="165"/>
      <c r="C36" s="165"/>
      <c r="D36" s="519" t="s">
        <v>325</v>
      </c>
      <c r="E36" s="166" t="str">
        <f>_xlfn.XLOOKUP($F36,'Gebäudetechnik Technique du bât'!$A:$A,'Gebäudetechnik Technique du bât'!$G:$G,0)</f>
        <v>m</v>
      </c>
      <c r="F36" s="166" t="s">
        <v>937</v>
      </c>
      <c r="G36" s="166">
        <v>0.5</v>
      </c>
      <c r="H36" s="166"/>
      <c r="I36" s="166">
        <v>40</v>
      </c>
      <c r="J36" s="802">
        <f>$G36*VLOOKUP(F36,'Gebäudetechnik Technique du bât'!$A$10:$W$403,18,FALSE)</f>
        <v>50.5</v>
      </c>
      <c r="K36" s="802">
        <f>G36*VLOOKUP(F36,'Gebäudetechnik Technique du bât'!$A$10:$W$403,19,FALSE)</f>
        <v>0.64500000000000002</v>
      </c>
      <c r="L36" s="802">
        <f>G36*VLOOKUP(F36,'Gebäudetechnik Technique du bât'!$A$10:$W$403,21,FALSE)</f>
        <v>10.35</v>
      </c>
      <c r="M36" s="802">
        <f>G36*VLOOKUP(F36,'Gebäudetechnik Technique du bât'!$A$10:$W$403,22,FALSE)</f>
        <v>1.28</v>
      </c>
      <c r="N36" s="802"/>
      <c r="O36" s="802"/>
      <c r="P36" s="802"/>
      <c r="Q36" s="806">
        <f>J36/$I36</f>
        <v>1.2625</v>
      </c>
      <c r="R36" s="806">
        <f>K36/$I36</f>
        <v>1.6125E-2</v>
      </c>
      <c r="S36" s="806">
        <f>L36/$I36</f>
        <v>0.25874999999999998</v>
      </c>
      <c r="T36" s="806">
        <f>M36/$I36</f>
        <v>3.2000000000000001E-2</v>
      </c>
      <c r="W36" s="3">
        <f>(L36+M36)/I36</f>
        <v>0.29074999999999995</v>
      </c>
    </row>
    <row r="37" spans="1:24">
      <c r="B37" s="2"/>
      <c r="C37" s="2"/>
      <c r="E37" s="166"/>
    </row>
    <row r="38" spans="1:24" ht="15">
      <c r="A38" s="166" t="s">
        <v>97</v>
      </c>
      <c r="B38" s="166" t="s">
        <v>938</v>
      </c>
      <c r="C38" s="166"/>
      <c r="D38" s="166" t="s">
        <v>97</v>
      </c>
      <c r="E38" s="166" t="str">
        <f>_xlfn.XLOOKUP($F38,'Gebäudetechnik Technique du bât'!$A:$A,'Gebäudetechnik Technique du bât'!$G:$G,0)</f>
        <v>m2</v>
      </c>
      <c r="F38" s="525" t="s">
        <v>939</v>
      </c>
      <c r="G38" s="166">
        <v>1</v>
      </c>
      <c r="H38" s="166"/>
      <c r="I38" s="166">
        <v>30</v>
      </c>
      <c r="J38" s="802">
        <f>$G38*VLOOKUP(F38,'Gebäudetechnik Technique du bât'!$A$10:$W$403,18,FALSE)</f>
        <v>667</v>
      </c>
      <c r="K38" s="802">
        <v>0</v>
      </c>
      <c r="L38" s="802">
        <f>G38*VLOOKUP(F38,'Gebäudetechnik Technique du bât'!$A$10:$W$403,21,FALSE)</f>
        <v>168</v>
      </c>
      <c r="M38" s="802">
        <v>0</v>
      </c>
      <c r="N38" s="802"/>
      <c r="O38" s="802"/>
      <c r="P38" s="802"/>
      <c r="Q38" s="806">
        <f>J38/$I38</f>
        <v>22.233333333333334</v>
      </c>
      <c r="R38" s="806" t="s">
        <v>916</v>
      </c>
      <c r="S38" s="806">
        <f>L38/$I38</f>
        <v>5.6</v>
      </c>
      <c r="T38" s="806" t="s">
        <v>916</v>
      </c>
      <c r="W38" s="3">
        <f>(L38+M38)/I38</f>
        <v>5.6</v>
      </c>
      <c r="X38" s="3">
        <v>5.17</v>
      </c>
    </row>
    <row r="39" spans="1:24">
      <c r="F39" s="135"/>
      <c r="J39" s="804"/>
      <c r="K39" s="804"/>
      <c r="L39" s="804"/>
      <c r="M39" s="804"/>
      <c r="N39" s="804"/>
      <c r="O39" s="804"/>
      <c r="P39" s="804"/>
    </row>
    <row r="40" spans="1:24" ht="17.25">
      <c r="A40" s="132" t="s">
        <v>477</v>
      </c>
      <c r="B40" s="132"/>
      <c r="C40" s="132"/>
      <c r="D40" s="132"/>
      <c r="E40" s="132"/>
      <c r="F40" s="132"/>
      <c r="G40" s="133" t="s">
        <v>635</v>
      </c>
      <c r="H40" s="132"/>
      <c r="I40" s="134"/>
    </row>
    <row r="41" spans="1:24" ht="43.5">
      <c r="A41" s="166" t="s">
        <v>478</v>
      </c>
      <c r="B41" s="165" t="s">
        <v>940</v>
      </c>
      <c r="C41" s="165"/>
      <c r="D41" s="166" t="s">
        <v>921</v>
      </c>
      <c r="E41" s="166" t="str">
        <f>_xlfn.XLOOKUP($F41,'Gebäudetechnik Technique du bât'!$A:$A,'Gebäudetechnik Technique du bât'!$G:$G,0)</f>
        <v>m2</v>
      </c>
      <c r="F41" s="525" t="s">
        <v>941</v>
      </c>
      <c r="G41" s="166">
        <v>1</v>
      </c>
      <c r="H41" s="166"/>
      <c r="I41" s="166">
        <v>30</v>
      </c>
      <c r="J41" s="802">
        <f>$G41*VLOOKUP(F41,'Gebäudetechnik Technique du bât'!$A$10:$W$403,18,FALSE)</f>
        <v>13.7</v>
      </c>
      <c r="K41" s="802">
        <f>G41*VLOOKUP(F41,'Gebäudetechnik Technique du bât'!$A$10:$W$403,19,FALSE)</f>
        <v>7.9299999999999995E-3</v>
      </c>
      <c r="L41" s="802">
        <f>G41*VLOOKUP(F41,'Gebäudetechnik Technique du bât'!$A$10:$W$403,21,FALSE)</f>
        <v>3.52</v>
      </c>
      <c r="M41" s="802">
        <f>G41*VLOOKUP(F41,'Gebäudetechnik Technique du bât'!$A$10:$W$403,22,FALSE)</f>
        <v>0.125</v>
      </c>
      <c r="N41" s="802"/>
      <c r="O41" s="802"/>
      <c r="P41" s="802"/>
      <c r="Q41" s="806">
        <f t="shared" ref="Q41:Q42" si="8">J41/$I41</f>
        <v>0.45666666666666667</v>
      </c>
      <c r="R41" s="806">
        <f t="shared" ref="R41:T42" si="9">K41/$I41</f>
        <v>2.6433333333333333E-4</v>
      </c>
      <c r="S41" s="806">
        <f t="shared" si="9"/>
        <v>0.11733333333333333</v>
      </c>
      <c r="T41" s="806">
        <f t="shared" si="9"/>
        <v>4.1666666666666666E-3</v>
      </c>
      <c r="W41" s="3">
        <f>(L41+M41)/I41</f>
        <v>0.1215</v>
      </c>
      <c r="X41" s="3">
        <v>0.11</v>
      </c>
    </row>
    <row r="42" spans="1:24" ht="57.75">
      <c r="A42" s="166" t="s">
        <v>942</v>
      </c>
      <c r="B42" s="165" t="s">
        <v>943</v>
      </c>
      <c r="C42" s="165"/>
      <c r="D42" s="166" t="s">
        <v>921</v>
      </c>
      <c r="E42" s="166" t="str">
        <f>_xlfn.XLOOKUP($F42,'Gebäudetechnik Technique du bât'!$A:$A,'Gebäudetechnik Technique du bât'!$G:$G,0)</f>
        <v>m2</v>
      </c>
      <c r="F42" s="525" t="s">
        <v>944</v>
      </c>
      <c r="G42" s="166">
        <v>1</v>
      </c>
      <c r="H42" s="166"/>
      <c r="I42" s="166">
        <v>30</v>
      </c>
      <c r="J42" s="802">
        <f>$G42*VLOOKUP(F42,'Gebäudetechnik Technique du bât'!$A$10:$W$403,18,FALSE)</f>
        <v>50.3</v>
      </c>
      <c r="K42" s="802">
        <f>G42*VLOOKUP(F42,'Gebäudetechnik Technique du bât'!$A$10:$W$403,19,FALSE)</f>
        <v>0.14399999999999999</v>
      </c>
      <c r="L42" s="802">
        <f>G42*VLOOKUP(F42,'Gebäudetechnik Technique du bât'!$A$10:$W$403,21,FALSE)</f>
        <v>14.6</v>
      </c>
      <c r="M42" s="802">
        <f>G42*VLOOKUP(F42,'Gebäudetechnik Technique du bât'!$A$10:$W$403,22,FALSE)</f>
        <v>0.33800000000000002</v>
      </c>
      <c r="N42" s="802"/>
      <c r="O42" s="802"/>
      <c r="P42" s="802"/>
      <c r="Q42" s="806">
        <f t="shared" si="8"/>
        <v>1.6766666666666665</v>
      </c>
      <c r="R42" s="806">
        <f t="shared" si="9"/>
        <v>4.7999999999999996E-3</v>
      </c>
      <c r="S42" s="806">
        <f t="shared" si="9"/>
        <v>0.48666666666666664</v>
      </c>
      <c r="T42" s="806">
        <f t="shared" si="9"/>
        <v>1.1266666666666668E-2</v>
      </c>
      <c r="W42" s="3">
        <f>(L42+M42)/I42</f>
        <v>0.49793333333333328</v>
      </c>
      <c r="X42" s="3">
        <v>0.42</v>
      </c>
    </row>
    <row r="43" spans="1:24" ht="57">
      <c r="A43" s="166" t="s">
        <v>945</v>
      </c>
      <c r="B43" s="165" t="s">
        <v>946</v>
      </c>
      <c r="C43" s="165"/>
      <c r="D43" s="166" t="s">
        <v>921</v>
      </c>
      <c r="E43" s="166" t="str">
        <f>_xlfn.XLOOKUP($F43,'Gebäudetechnik Technique du bât'!$A:$A,'Gebäudetechnik Technique du bât'!$G:$G,0)</f>
        <v>m2</v>
      </c>
      <c r="F43" s="525" t="s">
        <v>947</v>
      </c>
      <c r="G43" s="166">
        <v>1</v>
      </c>
      <c r="H43" s="166"/>
      <c r="I43" s="166">
        <v>30</v>
      </c>
      <c r="J43" s="802">
        <f>$G43*VLOOKUP(F43,'Gebäudetechnik Technique du bât'!$A$10:$W$403,18,FALSE)</f>
        <v>68</v>
      </c>
      <c r="K43" s="802">
        <f>G43*VLOOKUP(F43,'Gebäudetechnik Technique du bât'!$A$10:$W$403,19,FALSE)</f>
        <v>0.19800000000000001</v>
      </c>
      <c r="L43" s="802">
        <f>G43*VLOOKUP(F43,'Gebäudetechnik Technique du bât'!$A$10:$W$403,21,FALSE)</f>
        <v>19.7</v>
      </c>
      <c r="M43" s="802">
        <f>G43*VLOOKUP(F43,'Gebäudetechnik Technique du bât'!$A$10:$W$403,22,FALSE)</f>
        <v>0.47499999999999998</v>
      </c>
      <c r="N43" s="962"/>
      <c r="O43" s="962"/>
      <c r="P43" s="962"/>
      <c r="Q43" s="1950">
        <f>AVERAGE(J43:J44)/$I43</f>
        <v>2.85</v>
      </c>
      <c r="R43" s="1950">
        <f>AVERAGE(K43:K44)/$I43</f>
        <v>8.3999999999999995E-3</v>
      </c>
      <c r="S43" s="1949">
        <f>AVERAGE(L43:L44)/$I43</f>
        <v>0.82499999999999996</v>
      </c>
      <c r="T43" s="1949">
        <f>AVERAGE(M43:M44)/$I43</f>
        <v>2.038333333333333E-2</v>
      </c>
      <c r="W43" s="3">
        <f>(L43+M43)/I43</f>
        <v>0.67249999999999999</v>
      </c>
      <c r="X43" s="3">
        <v>0.72</v>
      </c>
    </row>
    <row r="44" spans="1:24" ht="57">
      <c r="A44" s="166" t="s">
        <v>948</v>
      </c>
      <c r="B44" s="165" t="s">
        <v>949</v>
      </c>
      <c r="C44" s="165"/>
      <c r="D44" s="166" t="s">
        <v>921</v>
      </c>
      <c r="E44" s="166" t="str">
        <f>_xlfn.XLOOKUP($F44,'Gebäudetechnik Technique du bât'!$A:$A,'Gebäudetechnik Technique du bât'!$G:$G,0)</f>
        <v>m2</v>
      </c>
      <c r="F44" s="525" t="s">
        <v>950</v>
      </c>
      <c r="G44" s="166">
        <v>1</v>
      </c>
      <c r="H44" s="166"/>
      <c r="I44" s="166">
        <v>30</v>
      </c>
      <c r="J44" s="802">
        <f>$G44*VLOOKUP(F44,'Gebäudetechnik Technique du bât'!$A$10:$W$403,18,FALSE)</f>
        <v>103</v>
      </c>
      <c r="K44" s="802">
        <f>G44*VLOOKUP(F44,'Gebäudetechnik Technique du bât'!$A$10:$W$403,19,FALSE)</f>
        <v>0.30599999999999999</v>
      </c>
      <c r="L44" s="802">
        <f>G44*VLOOKUP(F44,'Gebäudetechnik Technique du bât'!$A$10:$W$403,21,FALSE)</f>
        <v>29.8</v>
      </c>
      <c r="M44" s="802">
        <f>G44*VLOOKUP(F44,'Gebäudetechnik Technique du bât'!$A$10:$W$403,22,FALSE)</f>
        <v>0.748</v>
      </c>
      <c r="N44" s="963"/>
      <c r="O44" s="963"/>
      <c r="P44" s="963"/>
      <c r="Q44" s="1951"/>
      <c r="R44" s="1951"/>
      <c r="S44" s="1949"/>
      <c r="T44" s="1949"/>
      <c r="W44" s="3">
        <f>(L44+M44)/I44</f>
        <v>1.0182666666666667</v>
      </c>
    </row>
    <row r="45" spans="1:24">
      <c r="B45" s="2"/>
      <c r="C45" s="2"/>
    </row>
    <row r="46" spans="1:24" ht="17.25">
      <c r="A46" s="132" t="s">
        <v>951</v>
      </c>
      <c r="B46" s="132"/>
      <c r="C46" s="132"/>
      <c r="D46" s="132"/>
      <c r="E46" s="132"/>
      <c r="F46" s="132"/>
      <c r="G46" s="133" t="s">
        <v>635</v>
      </c>
      <c r="H46" s="132"/>
      <c r="I46" s="134"/>
    </row>
    <row r="47" spans="1:24" ht="57.75">
      <c r="A47" s="166" t="s">
        <v>952</v>
      </c>
      <c r="B47" s="165" t="s">
        <v>953</v>
      </c>
      <c r="C47" s="165"/>
      <c r="D47" s="166" t="s">
        <v>482</v>
      </c>
      <c r="E47" s="166" t="str">
        <f>_xlfn.XLOOKUP($F47,'Gebäudetechnik Technique du bât'!$A:$A,'Gebäudetechnik Technique du bât'!$G:$G,0)</f>
        <v>m2</v>
      </c>
      <c r="F47" s="525" t="s">
        <v>954</v>
      </c>
      <c r="G47" s="166">
        <v>1</v>
      </c>
      <c r="H47" s="166"/>
      <c r="I47" s="166">
        <v>30</v>
      </c>
      <c r="J47" s="802">
        <f>$G47*VLOOKUP(F47,'Gebäudetechnik Technique du bât'!$A$10:$W$403,18,FALSE)</f>
        <v>45.8</v>
      </c>
      <c r="K47" s="802">
        <f>G47*VLOOKUP(F47,'Gebäudetechnik Technique du bât'!$A$10:$W$403,19,FALSE)</f>
        <v>0.28299999999999997</v>
      </c>
      <c r="L47" s="802">
        <f>G47*VLOOKUP(F47,'Gebäudetechnik Technique du bât'!$A$10:$W$403,21,FALSE)</f>
        <v>11</v>
      </c>
      <c r="M47" s="802">
        <f>G47*VLOOKUP(F47,'Gebäudetechnik Technique du bât'!$A$10:$W$403,22,FALSE)</f>
        <v>1.54</v>
      </c>
      <c r="N47" s="802"/>
      <c r="O47" s="802"/>
      <c r="P47" s="802"/>
      <c r="Q47" s="806">
        <f>J47/$I47</f>
        <v>1.5266666666666666</v>
      </c>
      <c r="R47" s="806">
        <f>K47/$I47</f>
        <v>9.4333333333333318E-3</v>
      </c>
      <c r="S47" s="806">
        <f>L47/$I47</f>
        <v>0.36666666666666664</v>
      </c>
      <c r="T47" s="806">
        <f>M47/$I47</f>
        <v>5.1333333333333335E-2</v>
      </c>
      <c r="W47" s="3">
        <f>(L47+M47)/I47</f>
        <v>0.41799999999999998</v>
      </c>
      <c r="X47" s="3">
        <v>0.38</v>
      </c>
    </row>
    <row r="48" spans="1:24" ht="57">
      <c r="A48" s="166" t="s">
        <v>955</v>
      </c>
      <c r="B48" s="165" t="s">
        <v>956</v>
      </c>
      <c r="C48" s="165"/>
      <c r="D48" s="166" t="s">
        <v>482</v>
      </c>
      <c r="E48" s="166" t="str">
        <f>_xlfn.XLOOKUP($F48,'Gebäudetechnik Technique du bât'!$A:$A,'Gebäudetechnik Technique du bât'!$G:$G,0)</f>
        <v>m2</v>
      </c>
      <c r="F48" s="525" t="s">
        <v>957</v>
      </c>
      <c r="G48" s="166">
        <v>1</v>
      </c>
      <c r="H48" s="166"/>
      <c r="I48" s="517">
        <v>30</v>
      </c>
      <c r="J48" s="802">
        <f>$G48*VLOOKUP(F48,'Gebäudetechnik Technique du bât'!$A$10:$W$403,18,FALSE)</f>
        <v>19</v>
      </c>
      <c r="K48" s="802">
        <f>G48*VLOOKUP(F48,'Gebäudetechnik Technique du bât'!$A$10:$W$403,19,FALSE)</f>
        <v>0.115</v>
      </c>
      <c r="L48" s="802">
        <f>G48*VLOOKUP(F48,'Gebäudetechnik Technique du bât'!$A$10:$W$403,21,FALSE)</f>
        <v>3.58</v>
      </c>
      <c r="M48" s="802">
        <f>G48*VLOOKUP(F48,'Gebäudetechnik Technique du bât'!$A$10:$W$403,22,FALSE)</f>
        <v>1.1499999999999999</v>
      </c>
      <c r="N48" s="962"/>
      <c r="O48" s="962"/>
      <c r="P48" s="962"/>
      <c r="Q48" s="1950">
        <f>AVERAGE(J48:J49)/$I48</f>
        <v>1.0683333333333331</v>
      </c>
      <c r="R48" s="1950">
        <f>AVERAGE(K48:K49)/$I48</f>
        <v>9.0333333333333342E-3</v>
      </c>
      <c r="S48" s="1950">
        <f>AVERAGE(L48:L49)/$I48</f>
        <v>0.20166666666666666</v>
      </c>
      <c r="T48" s="1950">
        <f>AVERAGE(M48:M49)/$I48</f>
        <v>8.1833333333333341E-2</v>
      </c>
      <c r="W48" s="3">
        <f>(L48+M48)/I48</f>
        <v>0.15766666666666668</v>
      </c>
      <c r="X48" s="3">
        <v>0.27</v>
      </c>
    </row>
    <row r="49" spans="1:23" ht="71.25">
      <c r="A49" s="166" t="s">
        <v>958</v>
      </c>
      <c r="B49" s="165" t="s">
        <v>959</v>
      </c>
      <c r="C49" s="165"/>
      <c r="D49" s="166" t="s">
        <v>482</v>
      </c>
      <c r="E49" s="166" t="str">
        <f>_xlfn.XLOOKUP($F49,'Gebäudetechnik Technique du bât'!$A:$A,'Gebäudetechnik Technique du bât'!$G:$G,0)</f>
        <v>m2</v>
      </c>
      <c r="F49" s="525" t="s">
        <v>960</v>
      </c>
      <c r="G49" s="166">
        <v>1</v>
      </c>
      <c r="H49" s="166"/>
      <c r="I49" s="531">
        <v>30</v>
      </c>
      <c r="J49" s="802">
        <f>$G49*VLOOKUP(F49,'Gebäudetechnik Technique du bât'!$A$10:$W$403,18,FALSE)</f>
        <v>45.1</v>
      </c>
      <c r="K49" s="802">
        <f>G49*VLOOKUP(F49,'Gebäudetechnik Technique du bât'!$A$10:$W$403,19,FALSE)</f>
        <v>0.42699999999999999</v>
      </c>
      <c r="L49" s="802">
        <f>G49*VLOOKUP(F49,'Gebäudetechnik Technique du bât'!$A$10:$W$403,21,FALSE)</f>
        <v>8.52</v>
      </c>
      <c r="M49" s="802">
        <f>G49*VLOOKUP(F49,'Gebäudetechnik Technique du bât'!$A$10:$W$403,22,FALSE)</f>
        <v>3.76</v>
      </c>
      <c r="N49" s="963"/>
      <c r="O49" s="963"/>
      <c r="P49" s="963"/>
      <c r="Q49" s="1951"/>
      <c r="R49" s="1951"/>
      <c r="S49" s="1951"/>
      <c r="T49" s="1951"/>
      <c r="W49" s="3">
        <f>(L49+M49)/I49</f>
        <v>0.40933333333333333</v>
      </c>
    </row>
    <row r="51" spans="1:23" ht="17.25">
      <c r="A51" s="132"/>
      <c r="B51" s="132"/>
      <c r="C51" s="132"/>
      <c r="D51" s="132"/>
      <c r="E51" s="132"/>
      <c r="F51" s="132"/>
      <c r="G51" s="133" t="s">
        <v>635</v>
      </c>
      <c r="H51" s="132"/>
      <c r="I51" s="134"/>
    </row>
  </sheetData>
  <customSheetViews>
    <customSheetView guid="{B32447E2-AB5B-4CBB-881B-FF11349CA4D6}" scale="95">
      <pane ySplit="1" topLeftCell="A2" activePane="bottomLeft" state="frozen"/>
      <selection pane="bottomLeft" activeCell="N26" sqref="N26:N27"/>
      <pageMargins left="0" right="0" top="0" bottom="0" header="0" footer="0"/>
    </customSheetView>
    <customSheetView guid="{9FA74287-E657-475B-BF4B-3C8C757714AE}" scale="95">
      <pane ySplit="1" topLeftCell="A2" activePane="bottomLeft" state="frozen"/>
      <selection pane="bottomLeft" activeCell="N26" sqref="N26:N27"/>
      <pageMargins left="0" right="0" top="0" bottom="0" header="0" footer="0"/>
    </customSheetView>
    <customSheetView guid="{54A7C567-FA7D-467E-B353-ECB5E61AE756}" topLeftCell="A5">
      <selection activeCell="G33" sqref="G33"/>
      <pageMargins left="0" right="0" top="0" bottom="0" header="0" footer="0"/>
    </customSheetView>
  </customSheetViews>
  <mergeCells count="10">
    <mergeCell ref="T43:T44"/>
    <mergeCell ref="S48:S49"/>
    <mergeCell ref="T48:T49"/>
    <mergeCell ref="B28:B29"/>
    <mergeCell ref="B32:B33"/>
    <mergeCell ref="R43:R44"/>
    <mergeCell ref="S43:S44"/>
    <mergeCell ref="R48:R49"/>
    <mergeCell ref="Q48:Q49"/>
    <mergeCell ref="Q43:Q44"/>
  </mergeCells>
  <pageMargins left="0" right="0" top="0" bottom="0" header="0" footer="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FF35-90C9-4013-BA57-9747AB884EFA}">
  <dimension ref="A1:CC92"/>
  <sheetViews>
    <sheetView workbookViewId="0"/>
  </sheetViews>
  <sheetFormatPr baseColWidth="10" defaultRowHeight="12.75"/>
  <cols>
    <col min="1" max="16" width="11" style="1760"/>
    <col min="17" max="18" width="9.625" style="1760" bestFit="1" customWidth="1"/>
    <col min="19" max="25" width="10.625" style="1760" bestFit="1" customWidth="1"/>
    <col min="26" max="28" width="9.625" style="1760" bestFit="1" customWidth="1"/>
    <col min="29" max="29" width="11.5" style="1760" bestFit="1" customWidth="1"/>
    <col min="30" max="31" width="9.625" style="1760" bestFit="1" customWidth="1"/>
    <col min="32" max="37" width="10.625" style="1760" bestFit="1" customWidth="1"/>
    <col min="38" max="41" width="9.625" style="1760" bestFit="1" customWidth="1"/>
    <col min="42" max="48" width="10.625" style="1760" bestFit="1" customWidth="1"/>
    <col min="49" max="49" width="9.625" style="1760" bestFit="1" customWidth="1"/>
    <col min="50" max="52" width="10.625" style="1760" bestFit="1" customWidth="1"/>
    <col min="53" max="53" width="9.625" style="1760" bestFit="1" customWidth="1"/>
    <col min="54" max="54" width="10.625" style="1760" bestFit="1" customWidth="1"/>
    <col min="55" max="55" width="11.5" style="1760" bestFit="1" customWidth="1"/>
    <col min="56" max="57" width="9.625" style="1760" bestFit="1" customWidth="1"/>
    <col min="58" max="61" width="10.625" style="1760" bestFit="1" customWidth="1"/>
    <col min="62" max="67" width="9.625" style="1760" bestFit="1" customWidth="1"/>
    <col min="68" max="68" width="11.5" style="1760" bestFit="1" customWidth="1"/>
    <col min="69" max="80" width="9.625" style="1760" bestFit="1" customWidth="1"/>
    <col min="81" max="81" width="10.625" style="1760" bestFit="1" customWidth="1"/>
    <col min="82" max="16384" width="11" style="1760"/>
  </cols>
  <sheetData>
    <row r="1" spans="1:81">
      <c r="A1" s="1762" t="s">
        <v>4423</v>
      </c>
      <c r="B1" s="1761" t="str">
        <f>'Outil simplifié'!J9</f>
        <v>Bern-Liebefeld</v>
      </c>
    </row>
    <row r="2" spans="1:81">
      <c r="A2" s="1760" t="s">
        <v>4422</v>
      </c>
      <c r="B2" s="1760">
        <f t="shared" ref="B2:N2" si="0">_xlfn.XLOOKUP($B$1,$A$11:$A$50,D11:D50," ",0)</f>
        <v>-0.1</v>
      </c>
      <c r="C2" s="1760">
        <f t="shared" si="0"/>
        <v>1.3</v>
      </c>
      <c r="D2" s="1760">
        <f t="shared" si="0"/>
        <v>5.3</v>
      </c>
      <c r="E2" s="1760">
        <f t="shared" si="0"/>
        <v>8.1</v>
      </c>
      <c r="F2" s="1760">
        <f t="shared" si="0"/>
        <v>13.2</v>
      </c>
      <c r="G2" s="1760">
        <f t="shared" si="0"/>
        <v>16.100000000000001</v>
      </c>
      <c r="H2" s="1760">
        <f t="shared" si="0"/>
        <v>18.399999999999999</v>
      </c>
      <c r="I2" s="1760">
        <f t="shared" si="0"/>
        <v>18.399999999999999</v>
      </c>
      <c r="J2" s="1760">
        <f t="shared" si="0"/>
        <v>13.9</v>
      </c>
      <c r="K2" s="1760">
        <f t="shared" si="0"/>
        <v>9.6</v>
      </c>
      <c r="L2" s="1760">
        <f t="shared" si="0"/>
        <v>3.9</v>
      </c>
      <c r="M2" s="1760">
        <f t="shared" si="0"/>
        <v>1.2</v>
      </c>
      <c r="N2" s="1760">
        <f t="shared" si="0"/>
        <v>9.1</v>
      </c>
    </row>
    <row r="3" spans="1:81">
      <c r="A3" s="1760" t="s">
        <v>4421</v>
      </c>
      <c r="B3" s="1760">
        <f t="shared" ref="B3:N3" si="1">_xlfn.XLOOKUP($B$1,$A$11:$A$50,Q11:Q50," ",0)</f>
        <v>32.777777777777779</v>
      </c>
      <c r="C3" s="1760">
        <f t="shared" si="1"/>
        <v>50.277777777777779</v>
      </c>
      <c r="D3" s="1760">
        <f t="shared" si="1"/>
        <v>93.055555555555557</v>
      </c>
      <c r="E3" s="1760">
        <f t="shared" si="1"/>
        <v>116.66666666666666</v>
      </c>
      <c r="F3" s="1760">
        <f t="shared" si="1"/>
        <v>151.66666666666666</v>
      </c>
      <c r="G3" s="1760">
        <f t="shared" si="1"/>
        <v>165</v>
      </c>
      <c r="H3" s="1760">
        <f t="shared" si="1"/>
        <v>173.33333333333334</v>
      </c>
      <c r="I3" s="1760">
        <f t="shared" si="1"/>
        <v>151.11111111111111</v>
      </c>
      <c r="J3" s="1760">
        <f t="shared" si="1"/>
        <v>103.61111111111111</v>
      </c>
      <c r="K3" s="1760">
        <f t="shared" si="1"/>
        <v>63.888888888888886</v>
      </c>
      <c r="L3" s="1760">
        <f t="shared" si="1"/>
        <v>33.888888888888886</v>
      </c>
      <c r="M3" s="1760">
        <f t="shared" si="1"/>
        <v>25.277777777777779</v>
      </c>
      <c r="N3" s="1760">
        <f t="shared" si="1"/>
        <v>1160.5555555555554</v>
      </c>
    </row>
    <row r="4" spans="1:81">
      <c r="A4" s="1760" t="s">
        <v>4420</v>
      </c>
      <c r="B4" s="1760">
        <f t="shared" ref="B4:N4" si="2">_xlfn.XLOOKUP($B$1,$A$11:$A$50,AD11:AD50," ",0)</f>
        <v>20.833333333333332</v>
      </c>
      <c r="C4" s="1760">
        <f t="shared" si="2"/>
        <v>32.222222222222221</v>
      </c>
      <c r="D4" s="1760">
        <f t="shared" si="2"/>
        <v>56.666666666666664</v>
      </c>
      <c r="E4" s="1760">
        <f t="shared" si="2"/>
        <v>67.777777777777771</v>
      </c>
      <c r="F4" s="1760">
        <f t="shared" si="2"/>
        <v>84.722222222222214</v>
      </c>
      <c r="G4" s="1760">
        <f t="shared" si="2"/>
        <v>91.388888888888886</v>
      </c>
      <c r="H4" s="1760">
        <f t="shared" si="2"/>
        <v>96.666666666666657</v>
      </c>
      <c r="I4" s="1760">
        <f t="shared" si="2"/>
        <v>87.777777777777771</v>
      </c>
      <c r="J4" s="1760">
        <f t="shared" si="2"/>
        <v>59.166666666666664</v>
      </c>
      <c r="K4" s="1760">
        <f t="shared" si="2"/>
        <v>35</v>
      </c>
      <c r="L4" s="1760">
        <f t="shared" si="2"/>
        <v>18.611111111111111</v>
      </c>
      <c r="M4" s="1760">
        <f t="shared" si="2"/>
        <v>15</v>
      </c>
      <c r="N4" s="1760">
        <f t="shared" si="2"/>
        <v>665.55555555555554</v>
      </c>
    </row>
    <row r="5" spans="1:81">
      <c r="A5" s="1760" t="s">
        <v>4419</v>
      </c>
      <c r="B5" s="1760">
        <f t="shared" ref="B5:N5" si="3">_xlfn.XLOOKUP($B$1,$A$11:$A$50,AQ11:AQ50," ",0)</f>
        <v>55.833333333333329</v>
      </c>
      <c r="C5" s="1760">
        <f t="shared" si="3"/>
        <v>70</v>
      </c>
      <c r="D5" s="1760">
        <f t="shared" si="3"/>
        <v>93.611111111111114</v>
      </c>
      <c r="E5" s="1760">
        <f t="shared" si="3"/>
        <v>79.166666666666671</v>
      </c>
      <c r="F5" s="1760">
        <f t="shared" si="3"/>
        <v>78.888888888888886</v>
      </c>
      <c r="G5" s="1760">
        <f t="shared" si="3"/>
        <v>75</v>
      </c>
      <c r="H5" s="1760">
        <f t="shared" si="3"/>
        <v>84.722222222222214</v>
      </c>
      <c r="I5" s="1760">
        <f t="shared" si="3"/>
        <v>95.277777777777771</v>
      </c>
      <c r="J5" s="1760">
        <f t="shared" si="3"/>
        <v>90</v>
      </c>
      <c r="K5" s="1760">
        <f t="shared" si="3"/>
        <v>75.277777777777771</v>
      </c>
      <c r="L5" s="1760">
        <f t="shared" si="3"/>
        <v>49.722222222222221</v>
      </c>
      <c r="M5" s="1760">
        <f t="shared" si="3"/>
        <v>42.5</v>
      </c>
      <c r="N5" s="1760">
        <f t="shared" si="3"/>
        <v>889.72222222222217</v>
      </c>
    </row>
    <row r="6" spans="1:81">
      <c r="A6" s="1760" t="s">
        <v>4418</v>
      </c>
      <c r="B6" s="1760">
        <f t="shared" ref="B6:N6" si="4">_xlfn.XLOOKUP($B$1,$A$11:$A$50,BD11:BD50," ",0)</f>
        <v>24.444444444444443</v>
      </c>
      <c r="C6" s="1760">
        <f t="shared" si="4"/>
        <v>35</v>
      </c>
      <c r="D6" s="1760">
        <f t="shared" si="4"/>
        <v>56.666666666666664</v>
      </c>
      <c r="E6" s="1760">
        <f t="shared" si="4"/>
        <v>63.333333333333329</v>
      </c>
      <c r="F6" s="1760">
        <f t="shared" si="4"/>
        <v>78.055555555555557</v>
      </c>
      <c r="G6" s="1760">
        <f t="shared" si="4"/>
        <v>85</v>
      </c>
      <c r="H6" s="1760">
        <f t="shared" si="4"/>
        <v>92.222222222222214</v>
      </c>
      <c r="I6" s="1760">
        <f t="shared" si="4"/>
        <v>82.5</v>
      </c>
      <c r="J6" s="1760">
        <f t="shared" si="4"/>
        <v>61.111111111111107</v>
      </c>
      <c r="K6" s="1760">
        <f t="shared" si="4"/>
        <v>40.277777777777779</v>
      </c>
      <c r="L6" s="1760">
        <f t="shared" si="4"/>
        <v>22.222222222222221</v>
      </c>
      <c r="M6" s="1760">
        <f t="shared" si="4"/>
        <v>17.777777777777779</v>
      </c>
      <c r="N6" s="1760">
        <f t="shared" si="4"/>
        <v>658.88888888888891</v>
      </c>
    </row>
    <row r="7" spans="1:81">
      <c r="A7" s="1760" t="s">
        <v>4417</v>
      </c>
      <c r="B7" s="1760">
        <f t="shared" ref="B7:N7" si="5">_xlfn.XLOOKUP($B$1,$A$11:$A$50,BQ11:BQ50," ",0)</f>
        <v>13.333333333333332</v>
      </c>
      <c r="C7" s="1760">
        <f t="shared" si="5"/>
        <v>18.055555555555554</v>
      </c>
      <c r="D7" s="1760">
        <f t="shared" si="5"/>
        <v>27.5</v>
      </c>
      <c r="E7" s="1760">
        <f t="shared" si="5"/>
        <v>33.055555555555557</v>
      </c>
      <c r="F7" s="1760">
        <f t="shared" si="5"/>
        <v>44.722222222222221</v>
      </c>
      <c r="G7" s="1760">
        <f t="shared" si="5"/>
        <v>50.277777777777779</v>
      </c>
      <c r="H7" s="1760">
        <f t="shared" si="5"/>
        <v>50.555555555555557</v>
      </c>
      <c r="I7" s="1760">
        <f t="shared" si="5"/>
        <v>40.277777777777779</v>
      </c>
      <c r="J7" s="1760">
        <f t="shared" si="5"/>
        <v>27.222222222222221</v>
      </c>
      <c r="K7" s="1760">
        <f t="shared" si="5"/>
        <v>18.611111111111111</v>
      </c>
      <c r="L7" s="1760">
        <f t="shared" si="5"/>
        <v>11.388888888888889</v>
      </c>
      <c r="M7" s="1760">
        <f t="shared" si="5"/>
        <v>9.7222222222222214</v>
      </c>
      <c r="N7" s="1760">
        <f t="shared" si="5"/>
        <v>345.27777777777777</v>
      </c>
    </row>
    <row r="10" spans="1:81">
      <c r="B10" s="1760" t="s">
        <v>4416</v>
      </c>
      <c r="C10" s="1762" t="s">
        <v>4335</v>
      </c>
    </row>
    <row r="11" spans="1:81">
      <c r="A11" s="1760" t="s">
        <v>4415</v>
      </c>
      <c r="B11" s="1760" t="s">
        <v>4414</v>
      </c>
      <c r="C11" s="1760">
        <v>1320</v>
      </c>
      <c r="D11" s="1760">
        <v>-1.2</v>
      </c>
      <c r="E11" s="1760">
        <v>-0.9</v>
      </c>
      <c r="F11" s="1760">
        <v>1.7</v>
      </c>
      <c r="G11" s="1760">
        <v>4.0999999999999996</v>
      </c>
      <c r="H11" s="1760">
        <v>9.1999999999999993</v>
      </c>
      <c r="I11" s="1760">
        <v>11.8</v>
      </c>
      <c r="J11" s="1760">
        <v>14.2</v>
      </c>
      <c r="K11" s="1760">
        <v>14.4</v>
      </c>
      <c r="L11" s="1760">
        <v>10.5</v>
      </c>
      <c r="M11" s="1760">
        <v>7.3</v>
      </c>
      <c r="N11" s="1760">
        <v>2</v>
      </c>
      <c r="O11" s="1760">
        <v>0</v>
      </c>
      <c r="P11" s="1760">
        <v>6.1</v>
      </c>
      <c r="Q11" s="1761">
        <v>41.666666666666664</v>
      </c>
      <c r="R11" s="1761">
        <v>59.166666666666664</v>
      </c>
      <c r="S11" s="1761">
        <v>101.11111111111111</v>
      </c>
      <c r="T11" s="1761">
        <v>123.05555555555556</v>
      </c>
      <c r="U11" s="1761">
        <v>147.22222222222223</v>
      </c>
      <c r="V11" s="1761">
        <v>149.16666666666666</v>
      </c>
      <c r="W11" s="1761">
        <v>155.55555555555554</v>
      </c>
      <c r="X11" s="1761">
        <v>136.94444444444443</v>
      </c>
      <c r="Y11" s="1761">
        <v>103.05555555555556</v>
      </c>
      <c r="Z11" s="1761">
        <v>70.555555555555557</v>
      </c>
      <c r="AA11" s="1761">
        <v>41.666666666666664</v>
      </c>
      <c r="AB11" s="1761">
        <v>33.611111111111107</v>
      </c>
      <c r="AC11" s="1761">
        <v>1162.7777777777778</v>
      </c>
      <c r="AD11" s="1761">
        <v>26.666666666666664</v>
      </c>
      <c r="AE11" s="1761">
        <v>39.722222222222221</v>
      </c>
      <c r="AF11" s="1761">
        <v>75.277777777777771</v>
      </c>
      <c r="AG11" s="1761">
        <v>64.722222222222214</v>
      </c>
      <c r="AH11" s="1761">
        <v>81.944444444444443</v>
      </c>
      <c r="AI11" s="1761">
        <v>86.388888888888886</v>
      </c>
      <c r="AJ11" s="1761">
        <v>90.833333333333329</v>
      </c>
      <c r="AK11" s="1761">
        <v>77.5</v>
      </c>
      <c r="AL11" s="1761">
        <v>54.722222222222221</v>
      </c>
      <c r="AM11" s="1761">
        <v>49.722222222222221</v>
      </c>
      <c r="AN11" s="1761">
        <v>26.666666666666664</v>
      </c>
      <c r="AO11" s="1761">
        <v>21.666666666666668</v>
      </c>
      <c r="AP11" s="1761">
        <v>695.55555555555554</v>
      </c>
      <c r="AQ11" s="1761">
        <v>82.5</v>
      </c>
      <c r="AR11" s="1761">
        <v>91.944444444444443</v>
      </c>
      <c r="AS11" s="1761">
        <v>119.72222222222221</v>
      </c>
      <c r="AT11" s="1761">
        <v>81.388888888888886</v>
      </c>
      <c r="AU11" s="1761">
        <v>74.444444444444443</v>
      </c>
      <c r="AV11" s="1761">
        <v>65.555555555555557</v>
      </c>
      <c r="AW11" s="1761">
        <v>73.611111111111114</v>
      </c>
      <c r="AX11" s="1761">
        <v>83.333333333333329</v>
      </c>
      <c r="AY11" s="1761">
        <v>87.222222222222214</v>
      </c>
      <c r="AZ11" s="1761">
        <v>99.722222222222214</v>
      </c>
      <c r="BA11" s="1761">
        <v>72.777777777777771</v>
      </c>
      <c r="BB11" s="1761">
        <v>67.777777777777771</v>
      </c>
      <c r="BC11" s="1761">
        <v>1000</v>
      </c>
      <c r="BD11" s="1761">
        <v>37.222222222222221</v>
      </c>
      <c r="BE11" s="1761">
        <v>46.944444444444443</v>
      </c>
      <c r="BF11" s="1761">
        <v>71.388888888888886</v>
      </c>
      <c r="BG11" s="1761">
        <v>50.277777777777779</v>
      </c>
      <c r="BH11" s="1761">
        <v>55</v>
      </c>
      <c r="BI11" s="1761">
        <v>51.944444444444443</v>
      </c>
      <c r="BJ11" s="1761">
        <v>55</v>
      </c>
      <c r="BK11" s="1761">
        <v>51.944444444444443</v>
      </c>
      <c r="BL11" s="1761">
        <v>43.333333333333336</v>
      </c>
      <c r="BM11" s="1761">
        <v>52.777777777777779</v>
      </c>
      <c r="BN11" s="1761">
        <v>33.888888888888886</v>
      </c>
      <c r="BO11" s="1761">
        <v>28.888888888888889</v>
      </c>
      <c r="BP11" s="1761">
        <v>578.88888888888891</v>
      </c>
      <c r="BQ11" s="1761">
        <v>20.833333333333332</v>
      </c>
      <c r="BR11" s="1761">
        <v>28.333333333333332</v>
      </c>
      <c r="BS11" s="1761">
        <v>47.5</v>
      </c>
      <c r="BT11" s="1761">
        <v>28.055555555555554</v>
      </c>
      <c r="BU11" s="1761">
        <v>35.833333333333336</v>
      </c>
      <c r="BV11" s="1761">
        <v>38.888888888888886</v>
      </c>
      <c r="BW11" s="1761">
        <v>38.611111111111107</v>
      </c>
      <c r="BX11" s="1761">
        <v>31.111111111111111</v>
      </c>
      <c r="BY11" s="1761">
        <v>23.055555555555554</v>
      </c>
      <c r="BZ11" s="1761">
        <v>34.166666666666664</v>
      </c>
      <c r="CA11" s="1761">
        <v>20.833333333333332</v>
      </c>
      <c r="CB11" s="1761">
        <v>17.222222222222221</v>
      </c>
      <c r="CC11" s="1761">
        <v>364.44444444444446</v>
      </c>
    </row>
    <row r="12" spans="1:81">
      <c r="A12" s="1760" t="s">
        <v>4413</v>
      </c>
      <c r="B12" s="1760" t="s">
        <v>4412</v>
      </c>
      <c r="C12" s="1760">
        <v>381</v>
      </c>
      <c r="D12" s="1760">
        <v>1.1000000000000001</v>
      </c>
      <c r="E12" s="1760">
        <v>2.5</v>
      </c>
      <c r="F12" s="1760">
        <v>6.2</v>
      </c>
      <c r="G12" s="1760">
        <v>9.3000000000000007</v>
      </c>
      <c r="H12" s="1760">
        <v>14.1</v>
      </c>
      <c r="I12" s="1760">
        <v>16.899999999999999</v>
      </c>
      <c r="J12" s="1760">
        <v>19.100000000000001</v>
      </c>
      <c r="K12" s="1760">
        <v>18.899999999999999</v>
      </c>
      <c r="L12" s="1760">
        <v>14.6</v>
      </c>
      <c r="M12" s="1760">
        <v>10.5</v>
      </c>
      <c r="N12" s="1760">
        <v>5.0999999999999996</v>
      </c>
      <c r="O12" s="1760">
        <v>2.2999999999999998</v>
      </c>
      <c r="P12" s="1760">
        <v>10.1</v>
      </c>
      <c r="Q12" s="1761">
        <v>38.611111111111107</v>
      </c>
      <c r="R12" s="1761">
        <v>55.833333333333329</v>
      </c>
      <c r="S12" s="1761">
        <v>100.55555555555556</v>
      </c>
      <c r="T12" s="1761">
        <v>126.66666666666666</v>
      </c>
      <c r="U12" s="1761">
        <v>158.33333333333334</v>
      </c>
      <c r="V12" s="1761">
        <v>166.38888888888889</v>
      </c>
      <c r="W12" s="1761">
        <v>175.55555555555554</v>
      </c>
      <c r="X12" s="1761">
        <v>152.5</v>
      </c>
      <c r="Y12" s="1761">
        <v>109.44444444444444</v>
      </c>
      <c r="Z12" s="1761">
        <v>72.777777777777771</v>
      </c>
      <c r="AA12" s="1761">
        <v>40.277777777777779</v>
      </c>
      <c r="AB12" s="1761">
        <v>31.111111111111111</v>
      </c>
      <c r="AC12" s="1761">
        <v>1228.3333333333333</v>
      </c>
      <c r="AD12" s="1761">
        <v>26.111111111111111</v>
      </c>
      <c r="AE12" s="1761">
        <v>35.555555555555557</v>
      </c>
      <c r="AF12" s="1761">
        <v>58.888888888888886</v>
      </c>
      <c r="AG12" s="1761">
        <v>69.166666666666671</v>
      </c>
      <c r="AH12" s="1761">
        <v>84.166666666666671</v>
      </c>
      <c r="AI12" s="1761">
        <v>89.166666666666671</v>
      </c>
      <c r="AJ12" s="1761">
        <v>92.222222222222214</v>
      </c>
      <c r="AK12" s="1761">
        <v>85.555555555555557</v>
      </c>
      <c r="AL12" s="1761">
        <v>63.333333333333329</v>
      </c>
      <c r="AM12" s="1761">
        <v>44.722222222222221</v>
      </c>
      <c r="AN12" s="1761">
        <v>25.277777777777779</v>
      </c>
      <c r="AO12" s="1761">
        <v>20</v>
      </c>
      <c r="AP12" s="1761">
        <v>693.88888888888891</v>
      </c>
      <c r="AQ12" s="1761">
        <v>66.111111111111114</v>
      </c>
      <c r="AR12" s="1761">
        <v>75.833333333333329</v>
      </c>
      <c r="AS12" s="1761">
        <v>98.333333333333329</v>
      </c>
      <c r="AT12" s="1761">
        <v>85.555555555555557</v>
      </c>
      <c r="AU12" s="1761">
        <v>81.944444444444443</v>
      </c>
      <c r="AV12" s="1761">
        <v>75</v>
      </c>
      <c r="AW12" s="1761">
        <v>84.722222222222214</v>
      </c>
      <c r="AX12" s="1761">
        <v>94.444444444444443</v>
      </c>
      <c r="AY12" s="1761">
        <v>94.444444444444443</v>
      </c>
      <c r="AZ12" s="1761">
        <v>87.777777777777771</v>
      </c>
      <c r="BA12" s="1761">
        <v>61.111111111111107</v>
      </c>
      <c r="BB12" s="1761">
        <v>54.444444444444443</v>
      </c>
      <c r="BC12" s="1761">
        <v>959.72222222222217</v>
      </c>
      <c r="BD12" s="1761">
        <v>20.833333333333332</v>
      </c>
      <c r="BE12" s="1761">
        <v>30.277777777777779</v>
      </c>
      <c r="BF12" s="1761">
        <v>51.388888888888886</v>
      </c>
      <c r="BG12" s="1761">
        <v>58.333333333333329</v>
      </c>
      <c r="BH12" s="1761">
        <v>67.777777777777771</v>
      </c>
      <c r="BI12" s="1761">
        <v>71.944444444444443</v>
      </c>
      <c r="BJ12" s="1761">
        <v>77.5</v>
      </c>
      <c r="BK12" s="1761">
        <v>69.166666666666671</v>
      </c>
      <c r="BL12" s="1761">
        <v>53.888888888888886</v>
      </c>
      <c r="BM12" s="1761">
        <v>36.388888888888886</v>
      </c>
      <c r="BN12" s="1761">
        <v>19.444444444444443</v>
      </c>
      <c r="BO12" s="1761">
        <v>15</v>
      </c>
      <c r="BP12" s="1761">
        <v>571.66666666666663</v>
      </c>
      <c r="BQ12" s="1761">
        <v>13.333333333333332</v>
      </c>
      <c r="BR12" s="1761">
        <v>16.666666666666668</v>
      </c>
      <c r="BS12" s="1761">
        <v>26.111111111111111</v>
      </c>
      <c r="BT12" s="1761">
        <v>31.666666666666664</v>
      </c>
      <c r="BU12" s="1761">
        <v>40.833333333333336</v>
      </c>
      <c r="BV12" s="1761">
        <v>45.277777777777779</v>
      </c>
      <c r="BW12" s="1761">
        <v>43.888888888888886</v>
      </c>
      <c r="BX12" s="1761">
        <v>36.388888888888886</v>
      </c>
      <c r="BY12" s="1761">
        <v>27.222222222222221</v>
      </c>
      <c r="BZ12" s="1761">
        <v>19.444444444444443</v>
      </c>
      <c r="CA12" s="1761">
        <v>12.222222222222221</v>
      </c>
      <c r="CB12" s="1761">
        <v>10.277777777777777</v>
      </c>
      <c r="CC12" s="1761">
        <v>323.88888888888886</v>
      </c>
    </row>
    <row r="13" spans="1:81">
      <c r="A13" s="1760" t="s">
        <v>4411</v>
      </c>
      <c r="B13" s="1760" t="s">
        <v>4410</v>
      </c>
      <c r="C13" s="1760">
        <v>449</v>
      </c>
      <c r="D13" s="1760">
        <v>1.2</v>
      </c>
      <c r="E13" s="1760">
        <v>2.1</v>
      </c>
      <c r="F13" s="1760">
        <v>5.9</v>
      </c>
      <c r="G13" s="1760">
        <v>9.1</v>
      </c>
      <c r="H13" s="1760">
        <v>14.1</v>
      </c>
      <c r="I13" s="1760">
        <v>16.5</v>
      </c>
      <c r="J13" s="1760">
        <v>18.600000000000001</v>
      </c>
      <c r="K13" s="1760">
        <v>18.600000000000001</v>
      </c>
      <c r="L13" s="1760">
        <v>14.6</v>
      </c>
      <c r="M13" s="1760">
        <v>10.6</v>
      </c>
      <c r="N13" s="1760">
        <v>5.2</v>
      </c>
      <c r="O13" s="1760">
        <v>2.5</v>
      </c>
      <c r="P13" s="1760">
        <v>9.9</v>
      </c>
      <c r="Q13" s="1761">
        <v>28.888888888888889</v>
      </c>
      <c r="R13" s="1761">
        <v>48.333333333333329</v>
      </c>
      <c r="S13" s="1761">
        <v>90</v>
      </c>
      <c r="T13" s="1761">
        <v>120.83333333333333</v>
      </c>
      <c r="U13" s="1761">
        <v>152.5</v>
      </c>
      <c r="V13" s="1761">
        <v>151.94444444444443</v>
      </c>
      <c r="W13" s="1761">
        <v>153.88888888888889</v>
      </c>
      <c r="X13" s="1761">
        <v>134.72222222222223</v>
      </c>
      <c r="Y13" s="1761">
        <v>95.833333333333329</v>
      </c>
      <c r="Z13" s="1761">
        <v>62.5</v>
      </c>
      <c r="AA13" s="1761">
        <v>32.5</v>
      </c>
      <c r="AB13" s="1761">
        <v>22.222222222222221</v>
      </c>
      <c r="AC13" s="1761">
        <v>1094.4444444444443</v>
      </c>
      <c r="AD13" s="1761">
        <v>14.166666666666666</v>
      </c>
      <c r="AE13" s="1761">
        <v>27.5</v>
      </c>
      <c r="AF13" s="1761">
        <v>48.333333333333329</v>
      </c>
      <c r="AG13" s="1761">
        <v>64.166666666666671</v>
      </c>
      <c r="AH13" s="1761">
        <v>80.277777777777771</v>
      </c>
      <c r="AI13" s="1761">
        <v>80.555555555555557</v>
      </c>
      <c r="AJ13" s="1761">
        <v>82.5</v>
      </c>
      <c r="AK13" s="1761">
        <v>74.444444444444443</v>
      </c>
      <c r="AL13" s="1761">
        <v>51.944444444444443</v>
      </c>
      <c r="AM13" s="1761">
        <v>31.944444444444443</v>
      </c>
      <c r="AN13" s="1761">
        <v>14.444444444444445</v>
      </c>
      <c r="AO13" s="1761">
        <v>10.277777777777777</v>
      </c>
      <c r="AP13" s="1761">
        <v>580.83333333333337</v>
      </c>
      <c r="AQ13" s="1761">
        <v>37.222222222222221</v>
      </c>
      <c r="AR13" s="1761">
        <v>61.111111111111107</v>
      </c>
      <c r="AS13" s="1761">
        <v>84.166666666666671</v>
      </c>
      <c r="AT13" s="1761">
        <v>80.555555555555557</v>
      </c>
      <c r="AU13" s="1761">
        <v>78.055555555555557</v>
      </c>
      <c r="AV13" s="1761">
        <v>67.777777777777771</v>
      </c>
      <c r="AW13" s="1761">
        <v>74.444444444444443</v>
      </c>
      <c r="AX13" s="1761">
        <v>81.944444444444443</v>
      </c>
      <c r="AY13" s="1761">
        <v>77.777777777777771</v>
      </c>
      <c r="AZ13" s="1761">
        <v>66.944444444444443</v>
      </c>
      <c r="BA13" s="1761">
        <v>38.888888888888886</v>
      </c>
      <c r="BB13" s="1761">
        <v>26.666666666666664</v>
      </c>
      <c r="BC13" s="1761">
        <v>775.55555555555554</v>
      </c>
      <c r="BD13" s="1761">
        <v>13.333333333333332</v>
      </c>
      <c r="BE13" s="1761">
        <v>26.111111111111111</v>
      </c>
      <c r="BF13" s="1761">
        <v>39.444444444444443</v>
      </c>
      <c r="BG13" s="1761">
        <v>51.111111111111107</v>
      </c>
      <c r="BH13" s="1761">
        <v>61.111111111111107</v>
      </c>
      <c r="BI13" s="1761">
        <v>57.5</v>
      </c>
      <c r="BJ13" s="1761">
        <v>58.888888888888886</v>
      </c>
      <c r="BK13" s="1761">
        <v>53.611111111111107</v>
      </c>
      <c r="BL13" s="1761">
        <v>38.055555555555557</v>
      </c>
      <c r="BM13" s="1761">
        <v>26.111111111111111</v>
      </c>
      <c r="BN13" s="1761">
        <v>13.611111111111111</v>
      </c>
      <c r="BO13" s="1761">
        <v>8.8888888888888893</v>
      </c>
      <c r="BP13" s="1761">
        <v>447.77777777777777</v>
      </c>
      <c r="BQ13" s="1761">
        <v>11.111111111111111</v>
      </c>
      <c r="BR13" s="1761">
        <v>17.5</v>
      </c>
      <c r="BS13" s="1761">
        <v>24.444444444444443</v>
      </c>
      <c r="BT13" s="1761">
        <v>29.444444444444443</v>
      </c>
      <c r="BU13" s="1761">
        <v>38.055555555555557</v>
      </c>
      <c r="BV13" s="1761">
        <v>39.722222222222221</v>
      </c>
      <c r="BW13" s="1761">
        <v>39.444444444444443</v>
      </c>
      <c r="BX13" s="1761">
        <v>32.777777777777779</v>
      </c>
      <c r="BY13" s="1761">
        <v>23.888888888888889</v>
      </c>
      <c r="BZ13" s="1761">
        <v>16.388888888888889</v>
      </c>
      <c r="CA13" s="1761">
        <v>10</v>
      </c>
      <c r="CB13" s="1761">
        <v>8.0555555555555554</v>
      </c>
      <c r="CC13" s="1761">
        <v>290.83333333333331</v>
      </c>
    </row>
    <row r="14" spans="1:81">
      <c r="A14" s="1760" t="s">
        <v>4409</v>
      </c>
      <c r="B14" s="1760" t="s">
        <v>4408</v>
      </c>
      <c r="C14" s="1760">
        <v>316</v>
      </c>
      <c r="D14" s="1760">
        <v>1.7</v>
      </c>
      <c r="E14" s="1760">
        <v>2.9</v>
      </c>
      <c r="F14" s="1760">
        <v>6.8</v>
      </c>
      <c r="G14" s="1760">
        <v>9.6</v>
      </c>
      <c r="H14" s="1760">
        <v>14.2</v>
      </c>
      <c r="I14" s="1760">
        <v>17.2</v>
      </c>
      <c r="J14" s="1760">
        <v>19.5</v>
      </c>
      <c r="K14" s="1760">
        <v>19.399999999999999</v>
      </c>
      <c r="L14" s="1760">
        <v>14.9</v>
      </c>
      <c r="M14" s="1760">
        <v>10.9</v>
      </c>
      <c r="N14" s="1760">
        <v>5.4</v>
      </c>
      <c r="O14" s="1760">
        <v>3</v>
      </c>
      <c r="P14" s="1760">
        <v>10.5</v>
      </c>
      <c r="Q14" s="1761">
        <v>30.555555555555554</v>
      </c>
      <c r="R14" s="1761">
        <v>46.388888888888886</v>
      </c>
      <c r="S14" s="1761">
        <v>84.722222222222214</v>
      </c>
      <c r="T14" s="1761">
        <v>113.88888888888889</v>
      </c>
      <c r="U14" s="1761">
        <v>146.66666666666666</v>
      </c>
      <c r="V14" s="1761">
        <v>161.94444444444443</v>
      </c>
      <c r="W14" s="1761">
        <v>168.05555555555554</v>
      </c>
      <c r="X14" s="1761">
        <v>147.22222222222223</v>
      </c>
      <c r="Y14" s="1761">
        <v>99.444444444444443</v>
      </c>
      <c r="Z14" s="1761">
        <v>62.5</v>
      </c>
      <c r="AA14" s="1761">
        <v>33.055555555555557</v>
      </c>
      <c r="AB14" s="1761">
        <v>23.888888888888889</v>
      </c>
      <c r="AC14" s="1761">
        <v>1118.3333333333333</v>
      </c>
      <c r="AD14" s="1761">
        <v>20</v>
      </c>
      <c r="AE14" s="1761">
        <v>30.277777777777779</v>
      </c>
      <c r="AF14" s="1761">
        <v>50.555555555555557</v>
      </c>
      <c r="AG14" s="1761">
        <v>64.166666666666671</v>
      </c>
      <c r="AH14" s="1761">
        <v>81.944444444444443</v>
      </c>
      <c r="AI14" s="1761">
        <v>89.166666666666671</v>
      </c>
      <c r="AJ14" s="1761">
        <v>92.222222222222214</v>
      </c>
      <c r="AK14" s="1761">
        <v>84.166666666666671</v>
      </c>
      <c r="AL14" s="1761">
        <v>56.111111111111107</v>
      </c>
      <c r="AM14" s="1761">
        <v>36.388888888888886</v>
      </c>
      <c r="AN14" s="1761">
        <v>20.277777777777779</v>
      </c>
      <c r="AO14" s="1761">
        <v>15</v>
      </c>
      <c r="AP14" s="1761">
        <v>640</v>
      </c>
      <c r="AQ14" s="1761">
        <v>52.777777777777779</v>
      </c>
      <c r="AR14" s="1761">
        <v>64.444444444444443</v>
      </c>
      <c r="AS14" s="1761">
        <v>84.166666666666671</v>
      </c>
      <c r="AT14" s="1761">
        <v>78.611111111111114</v>
      </c>
      <c r="AU14" s="1761">
        <v>78.055555555555557</v>
      </c>
      <c r="AV14" s="1761">
        <v>76.388888888888886</v>
      </c>
      <c r="AW14" s="1761">
        <v>84.166666666666671</v>
      </c>
      <c r="AX14" s="1761">
        <v>93.611111111111114</v>
      </c>
      <c r="AY14" s="1761">
        <v>87.222222222222214</v>
      </c>
      <c r="AZ14" s="1761">
        <v>77.5</v>
      </c>
      <c r="BA14" s="1761">
        <v>51.944444444444443</v>
      </c>
      <c r="BB14" s="1761">
        <v>41.666666666666664</v>
      </c>
      <c r="BC14" s="1761">
        <v>870.27777777777771</v>
      </c>
      <c r="BD14" s="1761">
        <v>22.222222222222221</v>
      </c>
      <c r="BE14" s="1761">
        <v>33.055555555555557</v>
      </c>
      <c r="BF14" s="1761">
        <v>53.611111111111107</v>
      </c>
      <c r="BG14" s="1761">
        <v>65.555555555555557</v>
      </c>
      <c r="BH14" s="1761">
        <v>81.111111111111114</v>
      </c>
      <c r="BI14" s="1761">
        <v>90.833333333333329</v>
      </c>
      <c r="BJ14" s="1761">
        <v>96.111111111111114</v>
      </c>
      <c r="BK14" s="1761">
        <v>86.944444444444443</v>
      </c>
      <c r="BL14" s="1761">
        <v>61.944444444444443</v>
      </c>
      <c r="BM14" s="1761">
        <v>41.666666666666664</v>
      </c>
      <c r="BN14" s="1761">
        <v>22.222222222222221</v>
      </c>
      <c r="BO14" s="1761">
        <v>16.388888888888889</v>
      </c>
      <c r="BP14" s="1761">
        <v>671.38888888888891</v>
      </c>
      <c r="BQ14" s="1761">
        <v>11.944444444444445</v>
      </c>
      <c r="BR14" s="1761">
        <v>16.666666666666668</v>
      </c>
      <c r="BS14" s="1761">
        <v>26.111111111111111</v>
      </c>
      <c r="BT14" s="1761">
        <v>33.055555555555557</v>
      </c>
      <c r="BU14" s="1761">
        <v>44.722222222222221</v>
      </c>
      <c r="BV14" s="1761">
        <v>52.5</v>
      </c>
      <c r="BW14" s="1761">
        <v>51.388888888888886</v>
      </c>
      <c r="BX14" s="1761">
        <v>40.833333333333336</v>
      </c>
      <c r="BY14" s="1761">
        <v>28.055555555555554</v>
      </c>
      <c r="BZ14" s="1761">
        <v>18.611111111111111</v>
      </c>
      <c r="CA14" s="1761">
        <v>11.388888888888889</v>
      </c>
      <c r="CB14" s="1761">
        <v>8.8888888888888893</v>
      </c>
      <c r="CC14" s="1761">
        <v>344.44444444444446</v>
      </c>
    </row>
    <row r="15" spans="1:81">
      <c r="A15" s="1760" t="s">
        <v>4407</v>
      </c>
      <c r="B15" s="1760" t="s">
        <v>4406</v>
      </c>
      <c r="C15" s="1760">
        <v>565</v>
      </c>
      <c r="D15" s="1760">
        <v>-0.1</v>
      </c>
      <c r="E15" s="1760">
        <v>1.3</v>
      </c>
      <c r="F15" s="1760">
        <v>5.3</v>
      </c>
      <c r="G15" s="1760">
        <v>8.1</v>
      </c>
      <c r="H15" s="1760">
        <v>13.2</v>
      </c>
      <c r="I15" s="1760">
        <v>16.100000000000001</v>
      </c>
      <c r="J15" s="1760">
        <v>18.399999999999999</v>
      </c>
      <c r="K15" s="1760">
        <v>18.399999999999999</v>
      </c>
      <c r="L15" s="1760">
        <v>13.9</v>
      </c>
      <c r="M15" s="1760">
        <v>9.6</v>
      </c>
      <c r="N15" s="1760">
        <v>3.9</v>
      </c>
      <c r="O15" s="1760">
        <v>1.2</v>
      </c>
      <c r="P15" s="1760">
        <v>9.1</v>
      </c>
      <c r="Q15" s="1761">
        <v>32.777777777777779</v>
      </c>
      <c r="R15" s="1761">
        <v>50.277777777777779</v>
      </c>
      <c r="S15" s="1761">
        <v>93.055555555555557</v>
      </c>
      <c r="T15" s="1761">
        <v>116.66666666666666</v>
      </c>
      <c r="U15" s="1761">
        <v>151.66666666666666</v>
      </c>
      <c r="V15" s="1761">
        <v>165</v>
      </c>
      <c r="W15" s="1761">
        <v>173.33333333333334</v>
      </c>
      <c r="X15" s="1761">
        <v>151.11111111111111</v>
      </c>
      <c r="Y15" s="1761">
        <v>103.61111111111111</v>
      </c>
      <c r="Z15" s="1761">
        <v>63.888888888888886</v>
      </c>
      <c r="AA15" s="1761">
        <v>33.888888888888886</v>
      </c>
      <c r="AB15" s="1761">
        <v>25.277777777777779</v>
      </c>
      <c r="AC15" s="1761">
        <v>1160.5555555555554</v>
      </c>
      <c r="AD15" s="1761">
        <v>20.833333333333332</v>
      </c>
      <c r="AE15" s="1761">
        <v>32.222222222222221</v>
      </c>
      <c r="AF15" s="1761">
        <v>56.666666666666664</v>
      </c>
      <c r="AG15" s="1761">
        <v>67.777777777777771</v>
      </c>
      <c r="AH15" s="1761">
        <v>84.722222222222214</v>
      </c>
      <c r="AI15" s="1761">
        <v>91.388888888888886</v>
      </c>
      <c r="AJ15" s="1761">
        <v>96.666666666666657</v>
      </c>
      <c r="AK15" s="1761">
        <v>87.777777777777771</v>
      </c>
      <c r="AL15" s="1761">
        <v>59.166666666666664</v>
      </c>
      <c r="AM15" s="1761">
        <v>35</v>
      </c>
      <c r="AN15" s="1761">
        <v>18.611111111111111</v>
      </c>
      <c r="AO15" s="1761">
        <v>15</v>
      </c>
      <c r="AP15" s="1761">
        <v>665.55555555555554</v>
      </c>
      <c r="AQ15" s="1761">
        <v>55.833333333333329</v>
      </c>
      <c r="AR15" s="1761">
        <v>70</v>
      </c>
      <c r="AS15" s="1761">
        <v>93.611111111111114</v>
      </c>
      <c r="AT15" s="1761">
        <v>79.166666666666671</v>
      </c>
      <c r="AU15" s="1761">
        <v>78.888888888888886</v>
      </c>
      <c r="AV15" s="1761">
        <v>75</v>
      </c>
      <c r="AW15" s="1761">
        <v>84.722222222222214</v>
      </c>
      <c r="AX15" s="1761">
        <v>95.277777777777771</v>
      </c>
      <c r="AY15" s="1761">
        <v>90</v>
      </c>
      <c r="AZ15" s="1761">
        <v>75.277777777777771</v>
      </c>
      <c r="BA15" s="1761">
        <v>49.722222222222221</v>
      </c>
      <c r="BB15" s="1761">
        <v>42.5</v>
      </c>
      <c r="BC15" s="1761">
        <v>889.72222222222217</v>
      </c>
      <c r="BD15" s="1761">
        <v>24.444444444444443</v>
      </c>
      <c r="BE15" s="1761">
        <v>35</v>
      </c>
      <c r="BF15" s="1761">
        <v>56.666666666666664</v>
      </c>
      <c r="BG15" s="1761">
        <v>63.333333333333329</v>
      </c>
      <c r="BH15" s="1761">
        <v>78.055555555555557</v>
      </c>
      <c r="BI15" s="1761">
        <v>85</v>
      </c>
      <c r="BJ15" s="1761">
        <v>92.222222222222214</v>
      </c>
      <c r="BK15" s="1761">
        <v>82.5</v>
      </c>
      <c r="BL15" s="1761">
        <v>61.111111111111107</v>
      </c>
      <c r="BM15" s="1761">
        <v>40.277777777777779</v>
      </c>
      <c r="BN15" s="1761">
        <v>22.222222222222221</v>
      </c>
      <c r="BO15" s="1761">
        <v>17.777777777777779</v>
      </c>
      <c r="BP15" s="1761">
        <v>658.88888888888891</v>
      </c>
      <c r="BQ15" s="1761">
        <v>13.333333333333332</v>
      </c>
      <c r="BR15" s="1761">
        <v>18.055555555555554</v>
      </c>
      <c r="BS15" s="1761">
        <v>27.5</v>
      </c>
      <c r="BT15" s="1761">
        <v>33.055555555555557</v>
      </c>
      <c r="BU15" s="1761">
        <v>44.722222222222221</v>
      </c>
      <c r="BV15" s="1761">
        <v>50.277777777777779</v>
      </c>
      <c r="BW15" s="1761">
        <v>50.555555555555557</v>
      </c>
      <c r="BX15" s="1761">
        <v>40.277777777777779</v>
      </c>
      <c r="BY15" s="1761">
        <v>27.222222222222221</v>
      </c>
      <c r="BZ15" s="1761">
        <v>18.611111111111111</v>
      </c>
      <c r="CA15" s="1761">
        <v>11.388888888888889</v>
      </c>
      <c r="CB15" s="1761">
        <v>9.7222222222222214</v>
      </c>
      <c r="CC15" s="1761">
        <v>345.27777777777777</v>
      </c>
    </row>
    <row r="16" spans="1:81">
      <c r="A16" s="1760" t="s">
        <v>4405</v>
      </c>
      <c r="B16" s="1760" t="s">
        <v>4404</v>
      </c>
      <c r="C16" s="1760">
        <v>387</v>
      </c>
      <c r="D16" s="1760">
        <v>0.6</v>
      </c>
      <c r="E16" s="1760">
        <v>1.7</v>
      </c>
      <c r="F16" s="1760">
        <v>5.8</v>
      </c>
      <c r="G16" s="1760">
        <v>8.8000000000000007</v>
      </c>
      <c r="H16" s="1760">
        <v>14</v>
      </c>
      <c r="I16" s="1760">
        <v>16.8</v>
      </c>
      <c r="J16" s="1760">
        <v>18.899999999999999</v>
      </c>
      <c r="K16" s="1760">
        <v>18.7</v>
      </c>
      <c r="L16" s="1760">
        <v>14.2</v>
      </c>
      <c r="M16" s="1760">
        <v>10</v>
      </c>
      <c r="N16" s="1760">
        <v>4.4000000000000004</v>
      </c>
      <c r="O16" s="1760">
        <v>2</v>
      </c>
      <c r="P16" s="1760">
        <v>9.6999999999999993</v>
      </c>
      <c r="Q16" s="1761">
        <v>23.888888888888889</v>
      </c>
      <c r="R16" s="1761">
        <v>41.111111111111107</v>
      </c>
      <c r="S16" s="1761">
        <v>78.888888888888886</v>
      </c>
      <c r="T16" s="1761">
        <v>108.61111111111111</v>
      </c>
      <c r="U16" s="1761">
        <v>145</v>
      </c>
      <c r="V16" s="1761">
        <v>155.55555555555554</v>
      </c>
      <c r="W16" s="1761">
        <v>161.38888888888889</v>
      </c>
      <c r="X16" s="1761">
        <v>139.16666666666666</v>
      </c>
      <c r="Y16" s="1761">
        <v>92.777777777777771</v>
      </c>
      <c r="Z16" s="1761">
        <v>51.944444444444443</v>
      </c>
      <c r="AA16" s="1761">
        <v>25.277777777777779</v>
      </c>
      <c r="AB16" s="1761">
        <v>18.611111111111111</v>
      </c>
      <c r="AC16" s="1761">
        <v>1042.2222222222222</v>
      </c>
      <c r="AD16" s="1761">
        <v>13.333333333333332</v>
      </c>
      <c r="AE16" s="1761">
        <v>24.166666666666664</v>
      </c>
      <c r="AF16" s="1761">
        <v>44.722222222222221</v>
      </c>
      <c r="AG16" s="1761">
        <v>59.166666666666664</v>
      </c>
      <c r="AH16" s="1761">
        <v>76.666666666666671</v>
      </c>
      <c r="AI16" s="1761">
        <v>81.388888888888886</v>
      </c>
      <c r="AJ16" s="1761">
        <v>86.388888888888886</v>
      </c>
      <c r="AK16" s="1761">
        <v>75.277777777777771</v>
      </c>
      <c r="AL16" s="1761">
        <v>48.888888888888886</v>
      </c>
      <c r="AM16" s="1761">
        <v>25.277777777777779</v>
      </c>
      <c r="AN16" s="1761">
        <v>13.055555555555555</v>
      </c>
      <c r="AO16" s="1761">
        <v>9.7222222222222214</v>
      </c>
      <c r="AP16" s="1761">
        <v>557.5</v>
      </c>
      <c r="AQ16" s="1761">
        <v>31.944444444444443</v>
      </c>
      <c r="AR16" s="1761">
        <v>50.277777777777779</v>
      </c>
      <c r="AS16" s="1761">
        <v>74.444444444444443</v>
      </c>
      <c r="AT16" s="1761">
        <v>75</v>
      </c>
      <c r="AU16" s="1761">
        <v>77.5</v>
      </c>
      <c r="AV16" s="1761">
        <v>73.333333333333329</v>
      </c>
      <c r="AW16" s="1761">
        <v>81.111111111111114</v>
      </c>
      <c r="AX16" s="1761">
        <v>87.777777777777771</v>
      </c>
      <c r="AY16" s="1761">
        <v>78.611111111111114</v>
      </c>
      <c r="AZ16" s="1761">
        <v>55.833333333333329</v>
      </c>
      <c r="BA16" s="1761">
        <v>30.277777777777779</v>
      </c>
      <c r="BB16" s="1761">
        <v>24.444444444444443</v>
      </c>
      <c r="BC16" s="1761">
        <v>740.55555555555554</v>
      </c>
      <c r="BD16" s="1761">
        <v>16.388888888888889</v>
      </c>
      <c r="BE16" s="1761">
        <v>26.944444444444443</v>
      </c>
      <c r="BF16" s="1761">
        <v>46.111111111111107</v>
      </c>
      <c r="BG16" s="1761">
        <v>57.5</v>
      </c>
      <c r="BH16" s="1761">
        <v>75.833333333333329</v>
      </c>
      <c r="BI16" s="1761">
        <v>80.555555555555557</v>
      </c>
      <c r="BJ16" s="1761">
        <v>86.388888888888886</v>
      </c>
      <c r="BK16" s="1761">
        <v>75.833333333333329</v>
      </c>
      <c r="BL16" s="1761">
        <v>54.722222222222221</v>
      </c>
      <c r="BM16" s="1761">
        <v>33.611111111111107</v>
      </c>
      <c r="BN16" s="1761">
        <v>16.666666666666668</v>
      </c>
      <c r="BO16" s="1761">
        <v>11.111111111111111</v>
      </c>
      <c r="BP16" s="1761">
        <v>581.66666666666663</v>
      </c>
      <c r="BQ16" s="1761">
        <v>10.277777777777777</v>
      </c>
      <c r="BR16" s="1761">
        <v>16.111111111111111</v>
      </c>
      <c r="BS16" s="1761">
        <v>24.444444444444443</v>
      </c>
      <c r="BT16" s="1761">
        <v>31.666666666666664</v>
      </c>
      <c r="BU16" s="1761">
        <v>42.5</v>
      </c>
      <c r="BV16" s="1761">
        <v>47.5</v>
      </c>
      <c r="BW16" s="1761">
        <v>48.333333333333329</v>
      </c>
      <c r="BX16" s="1761">
        <v>38.611111111111107</v>
      </c>
      <c r="BY16" s="1761">
        <v>26.666666666666664</v>
      </c>
      <c r="BZ16" s="1761">
        <v>17.222222222222221</v>
      </c>
      <c r="CA16" s="1761">
        <v>9.4444444444444446</v>
      </c>
      <c r="CB16" s="1761">
        <v>7.5</v>
      </c>
      <c r="CC16" s="1761">
        <v>320.27777777777777</v>
      </c>
    </row>
    <row r="17" spans="1:81">
      <c r="A17" s="1760" t="s">
        <v>4403</v>
      </c>
      <c r="B17" s="1760" t="s">
        <v>4402</v>
      </c>
      <c r="C17" s="1760">
        <v>555</v>
      </c>
      <c r="D17" s="1760">
        <v>0.5</v>
      </c>
      <c r="E17" s="1760">
        <v>1.7</v>
      </c>
      <c r="F17" s="1760">
        <v>5.8</v>
      </c>
      <c r="G17" s="1760">
        <v>8.9</v>
      </c>
      <c r="H17" s="1760">
        <v>14.1</v>
      </c>
      <c r="I17" s="1760">
        <v>16.5</v>
      </c>
      <c r="J17" s="1760">
        <v>18.5</v>
      </c>
      <c r="K17" s="1760">
        <v>18.399999999999999</v>
      </c>
      <c r="L17" s="1760">
        <v>14.2</v>
      </c>
      <c r="M17" s="1760">
        <v>10.4</v>
      </c>
      <c r="N17" s="1760">
        <v>4.7</v>
      </c>
      <c r="O17" s="1760">
        <v>1.7</v>
      </c>
      <c r="P17" s="1760">
        <v>9.6</v>
      </c>
      <c r="Q17" s="1761">
        <v>39.444444444444443</v>
      </c>
      <c r="R17" s="1761">
        <v>57.777777777777779</v>
      </c>
      <c r="S17" s="1761">
        <v>99.722222222222214</v>
      </c>
      <c r="T17" s="1761">
        <v>127.5</v>
      </c>
      <c r="U17" s="1761">
        <v>158.33333333333334</v>
      </c>
      <c r="V17" s="1761">
        <v>160.55555555555554</v>
      </c>
      <c r="W17" s="1761">
        <v>165.83333333333334</v>
      </c>
      <c r="X17" s="1761">
        <v>144.44444444444443</v>
      </c>
      <c r="Y17" s="1761">
        <v>103.61111111111111</v>
      </c>
      <c r="Z17" s="1761">
        <v>71.388888888888886</v>
      </c>
      <c r="AA17" s="1761">
        <v>41.111111111111107</v>
      </c>
      <c r="AB17" s="1761">
        <v>31.111111111111111</v>
      </c>
      <c r="AC17" s="1761">
        <v>1201.1111111111111</v>
      </c>
      <c r="AD17" s="1761">
        <v>22.222222222222221</v>
      </c>
      <c r="AE17" s="1761">
        <v>33.611111111111107</v>
      </c>
      <c r="AF17" s="1761">
        <v>49.722222222222221</v>
      </c>
      <c r="AG17" s="1761">
        <v>61.111111111111107</v>
      </c>
      <c r="AH17" s="1761">
        <v>79.722222222222214</v>
      </c>
      <c r="AI17" s="1761">
        <v>80</v>
      </c>
      <c r="AJ17" s="1761">
        <v>84.166666666666671</v>
      </c>
      <c r="AK17" s="1761">
        <v>72.222222222222214</v>
      </c>
      <c r="AL17" s="1761">
        <v>49.722222222222221</v>
      </c>
      <c r="AM17" s="1761">
        <v>32.777777777777779</v>
      </c>
      <c r="AN17" s="1761">
        <v>18.611111111111111</v>
      </c>
      <c r="AO17" s="1761">
        <v>15.555555555555555</v>
      </c>
      <c r="AP17" s="1761">
        <v>599.44444444444446</v>
      </c>
      <c r="AQ17" s="1761">
        <v>72.222222222222214</v>
      </c>
      <c r="AR17" s="1761">
        <v>85.277777777777771</v>
      </c>
      <c r="AS17" s="1761">
        <v>100.55555555555556</v>
      </c>
      <c r="AT17" s="1761">
        <v>86.388888888888886</v>
      </c>
      <c r="AU17" s="1761">
        <v>81.944444444444443</v>
      </c>
      <c r="AV17" s="1761">
        <v>73.333333333333329</v>
      </c>
      <c r="AW17" s="1761">
        <v>81.111111111111114</v>
      </c>
      <c r="AX17" s="1761">
        <v>90</v>
      </c>
      <c r="AY17" s="1761">
        <v>87.777777777777771</v>
      </c>
      <c r="AZ17" s="1761">
        <v>85.555555555555557</v>
      </c>
      <c r="BA17" s="1761">
        <v>63.333333333333329</v>
      </c>
      <c r="BB17" s="1761">
        <v>56.666666666666664</v>
      </c>
      <c r="BC17" s="1761">
        <v>964.16666666666663</v>
      </c>
      <c r="BD17" s="1761">
        <v>28.888888888888889</v>
      </c>
      <c r="BE17" s="1761">
        <v>41.111111111111107</v>
      </c>
      <c r="BF17" s="1761">
        <v>56.666666666666664</v>
      </c>
      <c r="BG17" s="1761">
        <v>59.722222222222221</v>
      </c>
      <c r="BH17" s="1761">
        <v>69.166666666666671</v>
      </c>
      <c r="BI17" s="1761">
        <v>66.944444444444443</v>
      </c>
      <c r="BJ17" s="1761">
        <v>70</v>
      </c>
      <c r="BK17" s="1761">
        <v>66.111111111111114</v>
      </c>
      <c r="BL17" s="1761">
        <v>51.111111111111107</v>
      </c>
      <c r="BM17" s="1761">
        <v>40.277777777777779</v>
      </c>
      <c r="BN17" s="1761">
        <v>25.277777777777779</v>
      </c>
      <c r="BO17" s="1761">
        <v>20.833333333333332</v>
      </c>
      <c r="BP17" s="1761">
        <v>595.83333333333337</v>
      </c>
      <c r="BQ17" s="1761">
        <v>15</v>
      </c>
      <c r="BR17" s="1761">
        <v>21.388888888888889</v>
      </c>
      <c r="BS17" s="1761">
        <v>28.333333333333332</v>
      </c>
      <c r="BT17" s="1761">
        <v>31.666666666666664</v>
      </c>
      <c r="BU17" s="1761">
        <v>39.444444444444443</v>
      </c>
      <c r="BV17" s="1761">
        <v>41.111111111111107</v>
      </c>
      <c r="BW17" s="1761">
        <v>40.833333333333336</v>
      </c>
      <c r="BX17" s="1761">
        <v>34.166666666666664</v>
      </c>
      <c r="BY17" s="1761">
        <v>25.277777777777779</v>
      </c>
      <c r="BZ17" s="1761">
        <v>17.777777777777779</v>
      </c>
      <c r="CA17" s="1761">
        <v>12.222222222222221</v>
      </c>
      <c r="CB17" s="1761">
        <v>11.111111111111111</v>
      </c>
      <c r="CC17" s="1761">
        <v>318.33333333333331</v>
      </c>
    </row>
    <row r="18" spans="1:81">
      <c r="A18" s="1760" t="s">
        <v>4401</v>
      </c>
      <c r="B18" s="1760" t="s">
        <v>4400</v>
      </c>
      <c r="C18" s="1760">
        <v>1590</v>
      </c>
      <c r="D18" s="1760">
        <v>-4.7</v>
      </c>
      <c r="E18" s="1760">
        <v>-4.2</v>
      </c>
      <c r="F18" s="1760">
        <v>-1.1000000000000001</v>
      </c>
      <c r="G18" s="1760">
        <v>1.8</v>
      </c>
      <c r="H18" s="1760">
        <v>7.2</v>
      </c>
      <c r="I18" s="1760">
        <v>9.9</v>
      </c>
      <c r="J18" s="1763">
        <v>12.3</v>
      </c>
      <c r="K18" s="1760">
        <v>12.3</v>
      </c>
      <c r="L18" s="1760">
        <v>8.4</v>
      </c>
      <c r="M18" s="1760">
        <v>5.0999999999999996</v>
      </c>
      <c r="N18" s="1760">
        <v>-0.7</v>
      </c>
      <c r="O18" s="1760">
        <v>-3.4</v>
      </c>
      <c r="P18" s="1760">
        <v>3.6</v>
      </c>
      <c r="Q18" s="1761">
        <v>50.555555555555557</v>
      </c>
      <c r="R18" s="1761">
        <v>71.111111111111114</v>
      </c>
      <c r="S18" s="1761">
        <v>119.16666666666666</v>
      </c>
      <c r="T18" s="1761">
        <v>145.55555555555554</v>
      </c>
      <c r="U18" s="1761">
        <v>167.5</v>
      </c>
      <c r="V18" s="1761">
        <v>167.77777777777777</v>
      </c>
      <c r="W18" s="1761">
        <v>171.94444444444443</v>
      </c>
      <c r="X18" s="1761">
        <v>151.11111111111111</v>
      </c>
      <c r="Y18" s="1761">
        <v>113.05555555555556</v>
      </c>
      <c r="Z18" s="1761">
        <v>82.5</v>
      </c>
      <c r="AA18" s="1761">
        <v>51.111111111111107</v>
      </c>
      <c r="AB18" s="1761">
        <v>40.277777777777779</v>
      </c>
      <c r="AC18" s="1761">
        <v>1331.3888888888889</v>
      </c>
      <c r="AD18" s="1761">
        <v>40.833333333333336</v>
      </c>
      <c r="AE18" s="1761">
        <v>60.555555555555557</v>
      </c>
      <c r="AF18" s="1761">
        <v>96.666666666666657</v>
      </c>
      <c r="AG18" s="1761">
        <v>103.61111111111111</v>
      </c>
      <c r="AH18" s="1761">
        <v>94.444444444444443</v>
      </c>
      <c r="AI18" s="1761">
        <v>90.833333333333329</v>
      </c>
      <c r="AJ18" s="1761">
        <v>93.055555555555557</v>
      </c>
      <c r="AK18" s="1761">
        <v>84.166666666666671</v>
      </c>
      <c r="AL18" s="1761">
        <v>66.944444444444443</v>
      </c>
      <c r="AM18" s="1761">
        <v>49.722222222222221</v>
      </c>
      <c r="AN18" s="1761">
        <v>36.111111111111107</v>
      </c>
      <c r="AO18" s="1761">
        <v>29.722222222222221</v>
      </c>
      <c r="AP18" s="1761">
        <v>846.66666666666663</v>
      </c>
      <c r="AQ18" s="1761">
        <v>111.66666666666666</v>
      </c>
      <c r="AR18" s="1761">
        <v>125</v>
      </c>
      <c r="AS18" s="1761">
        <v>148.88888888888889</v>
      </c>
      <c r="AT18" s="1761">
        <v>120.83333333333333</v>
      </c>
      <c r="AU18" s="1761">
        <v>90</v>
      </c>
      <c r="AV18" s="1761">
        <v>75.555555555555557</v>
      </c>
      <c r="AW18" s="1761">
        <v>82.5</v>
      </c>
      <c r="AX18" s="1761">
        <v>94.444444444444443</v>
      </c>
      <c r="AY18" s="1761">
        <v>100</v>
      </c>
      <c r="AZ18" s="1761">
        <v>109.44444444444444</v>
      </c>
      <c r="BA18" s="1761">
        <v>95</v>
      </c>
      <c r="BB18" s="1761">
        <v>90.833333333333329</v>
      </c>
      <c r="BC18" s="1761">
        <v>1244.1666666666667</v>
      </c>
      <c r="BD18" s="1761">
        <v>46.111111111111107</v>
      </c>
      <c r="BE18" s="1761">
        <v>62.5</v>
      </c>
      <c r="BF18" s="1761">
        <v>91.388888888888886</v>
      </c>
      <c r="BG18" s="1761">
        <v>91.388888888888886</v>
      </c>
      <c r="BH18" s="1761">
        <v>76.666666666666671</v>
      </c>
      <c r="BI18" s="1761">
        <v>71.944444444444443</v>
      </c>
      <c r="BJ18" s="1761">
        <v>73.611111111111114</v>
      </c>
      <c r="BK18" s="1761">
        <v>67.777777777777771</v>
      </c>
      <c r="BL18" s="1761">
        <v>56.944444444444443</v>
      </c>
      <c r="BM18" s="1761">
        <v>47.5</v>
      </c>
      <c r="BN18" s="1761">
        <v>37.5</v>
      </c>
      <c r="BO18" s="1761">
        <v>35.833333333333336</v>
      </c>
      <c r="BP18" s="1761">
        <v>759.16666666666663</v>
      </c>
      <c r="BQ18" s="1761">
        <v>26.111111111111111</v>
      </c>
      <c r="BR18" s="1761">
        <v>36.388888888888886</v>
      </c>
      <c r="BS18" s="1761">
        <v>54.444444444444443</v>
      </c>
      <c r="BT18" s="1761">
        <v>56.111111111111107</v>
      </c>
      <c r="BU18" s="1761">
        <v>44.722222222222221</v>
      </c>
      <c r="BV18" s="1761">
        <v>43.888888888888886</v>
      </c>
      <c r="BW18" s="1761">
        <v>41.666666666666664</v>
      </c>
      <c r="BX18" s="1761">
        <v>34.166666666666664</v>
      </c>
      <c r="BY18" s="1761">
        <v>26.666666666666664</v>
      </c>
      <c r="BZ18" s="1761">
        <v>21.666666666666668</v>
      </c>
      <c r="CA18" s="1761">
        <v>20.277777777777779</v>
      </c>
      <c r="CB18" s="1761">
        <v>20</v>
      </c>
      <c r="CC18" s="1761">
        <v>425.83333333333331</v>
      </c>
    </row>
    <row r="19" spans="1:81">
      <c r="A19" s="1760" t="s">
        <v>4399</v>
      </c>
      <c r="B19" s="1760" t="s">
        <v>4398</v>
      </c>
      <c r="C19" s="1760">
        <v>1190</v>
      </c>
      <c r="D19" s="1760">
        <v>-1.1000000000000001</v>
      </c>
      <c r="E19" s="1760">
        <v>-0.8</v>
      </c>
      <c r="F19" s="1760">
        <v>2.2000000000000002</v>
      </c>
      <c r="G19" s="1760">
        <v>4.9000000000000004</v>
      </c>
      <c r="H19" s="1760">
        <v>10.199999999999999</v>
      </c>
      <c r="I19" s="1760">
        <v>12.9</v>
      </c>
      <c r="J19" s="1760">
        <v>15.3</v>
      </c>
      <c r="K19" s="1760">
        <v>15.3</v>
      </c>
      <c r="L19" s="1760">
        <v>11.3</v>
      </c>
      <c r="M19" s="1760">
        <v>8</v>
      </c>
      <c r="N19" s="1760">
        <v>2.2999999999999998</v>
      </c>
      <c r="O19" s="1760">
        <v>-0.1</v>
      </c>
      <c r="P19" s="1760">
        <v>6.7</v>
      </c>
      <c r="Q19" s="1761">
        <v>44.722222222222221</v>
      </c>
      <c r="R19" s="1761">
        <v>65.277777777777771</v>
      </c>
      <c r="S19" s="1761">
        <v>112.22222222222221</v>
      </c>
      <c r="T19" s="1761">
        <v>130.27777777777777</v>
      </c>
      <c r="U19" s="1761">
        <v>153.33333333333334</v>
      </c>
      <c r="V19" s="1761">
        <v>163.33333333333334</v>
      </c>
      <c r="W19" s="1761">
        <v>169.72222222222223</v>
      </c>
      <c r="X19" s="1761">
        <v>148.05555555555554</v>
      </c>
      <c r="Y19" s="1761">
        <v>108.61111111111111</v>
      </c>
      <c r="Z19" s="1761">
        <v>73.611111111111114</v>
      </c>
      <c r="AA19" s="1761">
        <v>43.888888888888886</v>
      </c>
      <c r="AB19" s="1761">
        <v>35.833333333333336</v>
      </c>
      <c r="AC19" s="1761">
        <v>1248.8888888888889</v>
      </c>
      <c r="AD19" s="1761">
        <v>29.722222222222221</v>
      </c>
      <c r="AE19" s="1761">
        <v>48.333333333333329</v>
      </c>
      <c r="AF19" s="1761">
        <v>80.277777777777771</v>
      </c>
      <c r="AG19" s="1761">
        <v>82.777777777777771</v>
      </c>
      <c r="AH19" s="1761">
        <v>86.944444444444443</v>
      </c>
      <c r="AI19" s="1761">
        <v>90.833333333333329</v>
      </c>
      <c r="AJ19" s="1761">
        <v>96.666666666666657</v>
      </c>
      <c r="AK19" s="1761">
        <v>89.166666666666671</v>
      </c>
      <c r="AL19" s="1761">
        <v>62.777777777777779</v>
      </c>
      <c r="AM19" s="1761">
        <v>36.388888888888886</v>
      </c>
      <c r="AN19" s="1761">
        <v>23.888888888888889</v>
      </c>
      <c r="AO19" s="1761">
        <v>22.222222222222221</v>
      </c>
      <c r="AP19" s="1761">
        <v>750.27777777777771</v>
      </c>
      <c r="AQ19" s="1761">
        <v>89.166666666666671</v>
      </c>
      <c r="AR19" s="1761">
        <v>108.88888888888889</v>
      </c>
      <c r="AS19" s="1761">
        <v>131.66666666666666</v>
      </c>
      <c r="AT19" s="1761">
        <v>95.833333333333329</v>
      </c>
      <c r="AU19" s="1761">
        <v>78.055555555555557</v>
      </c>
      <c r="AV19" s="1761">
        <v>71.944444444444443</v>
      </c>
      <c r="AW19" s="1761">
        <v>81.111111111111114</v>
      </c>
      <c r="AX19" s="1761">
        <v>91.388888888888886</v>
      </c>
      <c r="AY19" s="1761">
        <v>94.444444444444443</v>
      </c>
      <c r="AZ19" s="1761">
        <v>90</v>
      </c>
      <c r="BA19" s="1761">
        <v>73.333333333333329</v>
      </c>
      <c r="BB19" s="1761">
        <v>72.222222222222214</v>
      </c>
      <c r="BC19" s="1761">
        <v>1078.3333333333333</v>
      </c>
      <c r="BD19" s="1761">
        <v>39.444444444444443</v>
      </c>
      <c r="BE19" s="1761">
        <v>55</v>
      </c>
      <c r="BF19" s="1761">
        <v>77.5</v>
      </c>
      <c r="BG19" s="1761">
        <v>66.944444444444443</v>
      </c>
      <c r="BH19" s="1761">
        <v>63.333333333333329</v>
      </c>
      <c r="BI19" s="1761">
        <v>64.722222222222214</v>
      </c>
      <c r="BJ19" s="1761">
        <v>66.944444444444443</v>
      </c>
      <c r="BK19" s="1761">
        <v>60.277777777777779</v>
      </c>
      <c r="BL19" s="1761">
        <v>48.888888888888886</v>
      </c>
      <c r="BM19" s="1761">
        <v>38.611111111111107</v>
      </c>
      <c r="BN19" s="1761">
        <v>29.444444444444443</v>
      </c>
      <c r="BO19" s="1761">
        <v>30.555555555555554</v>
      </c>
      <c r="BP19" s="1761">
        <v>641.94444444444446</v>
      </c>
      <c r="BQ19" s="1761">
        <v>23.055555555555554</v>
      </c>
      <c r="BR19" s="1761">
        <v>34.166666666666664</v>
      </c>
      <c r="BS19" s="1761">
        <v>46.111111111111107</v>
      </c>
      <c r="BT19" s="1761">
        <v>39.722222222222221</v>
      </c>
      <c r="BU19" s="1761">
        <v>37.222222222222221</v>
      </c>
      <c r="BV19" s="1761">
        <v>39.722222222222221</v>
      </c>
      <c r="BW19" s="1761">
        <v>39.444444444444443</v>
      </c>
      <c r="BX19" s="1761">
        <v>32.777777777777779</v>
      </c>
      <c r="BY19" s="1761">
        <v>23.055555555555554</v>
      </c>
      <c r="BZ19" s="1761">
        <v>17.222222222222221</v>
      </c>
      <c r="CA19" s="1761">
        <v>15.833333333333332</v>
      </c>
      <c r="CB19" s="1761">
        <v>17.222222222222221</v>
      </c>
      <c r="CC19" s="1761">
        <v>365</v>
      </c>
    </row>
    <row r="20" spans="1:81">
      <c r="A20" s="1760" t="s">
        <v>4397</v>
      </c>
      <c r="B20" s="1760" t="s">
        <v>4396</v>
      </c>
      <c r="C20" s="1760">
        <v>1035</v>
      </c>
      <c r="D20" s="1760">
        <v>-2</v>
      </c>
      <c r="E20" s="1760">
        <v>-1.1000000000000001</v>
      </c>
      <c r="F20" s="1760">
        <v>2.2000000000000002</v>
      </c>
      <c r="G20" s="1760">
        <v>5.0999999999999996</v>
      </c>
      <c r="H20" s="1760">
        <v>10.199999999999999</v>
      </c>
      <c r="I20" s="1760">
        <v>12.7</v>
      </c>
      <c r="J20" s="1760">
        <v>14.9</v>
      </c>
      <c r="K20" s="1760">
        <v>14.9</v>
      </c>
      <c r="L20" s="1760">
        <v>11</v>
      </c>
      <c r="M20" s="1760">
        <v>7.5</v>
      </c>
      <c r="N20" s="1760">
        <v>1.8</v>
      </c>
      <c r="O20" s="1760">
        <v>-0.7</v>
      </c>
      <c r="P20" s="1760">
        <v>6.4</v>
      </c>
      <c r="Q20" s="1761">
        <v>33.611111111111107</v>
      </c>
      <c r="R20" s="1761">
        <v>56.388888888888886</v>
      </c>
      <c r="S20" s="1761">
        <v>98.333333333333329</v>
      </c>
      <c r="T20" s="1761">
        <v>120.83333333333333</v>
      </c>
      <c r="U20" s="1761">
        <v>149.44444444444443</v>
      </c>
      <c r="V20" s="1761">
        <v>149.16666666666666</v>
      </c>
      <c r="W20" s="1761">
        <v>148.88888888888889</v>
      </c>
      <c r="X20" s="1761">
        <v>130.83333333333334</v>
      </c>
      <c r="Y20" s="1761">
        <v>95.833333333333329</v>
      </c>
      <c r="Z20" s="1761">
        <v>66.944444444444443</v>
      </c>
      <c r="AA20" s="1761">
        <v>36.666666666666664</v>
      </c>
      <c r="AB20" s="1761">
        <v>23.888888888888889</v>
      </c>
      <c r="AC20" s="1761">
        <v>1110.5555555555554</v>
      </c>
      <c r="AD20" s="1761">
        <v>17.777777777777779</v>
      </c>
      <c r="AE20" s="1761">
        <v>40.277777777777779</v>
      </c>
      <c r="AF20" s="1761">
        <v>63.333333333333329</v>
      </c>
      <c r="AG20" s="1761">
        <v>64.166666666666671</v>
      </c>
      <c r="AH20" s="1761">
        <v>69.166666666666671</v>
      </c>
      <c r="AI20" s="1761">
        <v>74.166666666666671</v>
      </c>
      <c r="AJ20" s="1761">
        <v>72.777777777777771</v>
      </c>
      <c r="AK20" s="1761">
        <v>65.555555555555557</v>
      </c>
      <c r="AL20" s="1761">
        <v>50.277777777777779</v>
      </c>
      <c r="AM20" s="1761">
        <v>36.388888888888886</v>
      </c>
      <c r="AN20" s="1761">
        <v>18.055555555555554</v>
      </c>
      <c r="AO20" s="1761">
        <v>10.277777777777777</v>
      </c>
      <c r="AP20" s="1761">
        <v>582.5</v>
      </c>
      <c r="AQ20" s="1761">
        <v>49.166666666666664</v>
      </c>
      <c r="AR20" s="1761">
        <v>83.888888888888886</v>
      </c>
      <c r="AS20" s="1761">
        <v>105.55555555555556</v>
      </c>
      <c r="AT20" s="1761">
        <v>85.555555555555557</v>
      </c>
      <c r="AU20" s="1761">
        <v>75.833333333333329</v>
      </c>
      <c r="AV20" s="1761">
        <v>64.722222222222214</v>
      </c>
      <c r="AW20" s="1761">
        <v>70.555555555555557</v>
      </c>
      <c r="AX20" s="1761">
        <v>79.722222222222214</v>
      </c>
      <c r="AY20" s="1761">
        <v>79.166666666666671</v>
      </c>
      <c r="AZ20" s="1761">
        <v>77.5</v>
      </c>
      <c r="BA20" s="1761">
        <v>48.888888888888886</v>
      </c>
      <c r="BB20" s="1761">
        <v>28.888888888888889</v>
      </c>
      <c r="BC20" s="1761">
        <v>850</v>
      </c>
      <c r="BD20" s="1761">
        <v>20</v>
      </c>
      <c r="BE20" s="1761">
        <v>35.555555555555557</v>
      </c>
      <c r="BF20" s="1761">
        <v>57.222222222222221</v>
      </c>
      <c r="BG20" s="1761">
        <v>61.111111111111107</v>
      </c>
      <c r="BH20" s="1761">
        <v>66.111111111111114</v>
      </c>
      <c r="BI20" s="1761">
        <v>59.722222222222221</v>
      </c>
      <c r="BJ20" s="1761">
        <v>59.444444444444443</v>
      </c>
      <c r="BK20" s="1761">
        <v>55</v>
      </c>
      <c r="BL20" s="1761">
        <v>41.111111111111107</v>
      </c>
      <c r="BM20" s="1761">
        <v>30.555555555555554</v>
      </c>
      <c r="BN20" s="1761">
        <v>17.222222222222221</v>
      </c>
      <c r="BO20" s="1761">
        <v>13.333333333333332</v>
      </c>
      <c r="BP20" s="1761">
        <v>516.94444444444446</v>
      </c>
      <c r="BQ20" s="1761">
        <v>14.166666666666666</v>
      </c>
      <c r="BR20" s="1761">
        <v>22.777777777777779</v>
      </c>
      <c r="BS20" s="1761">
        <v>33.611111111111107</v>
      </c>
      <c r="BT20" s="1761">
        <v>33.055555555555557</v>
      </c>
      <c r="BU20" s="1761">
        <v>34.166666666666664</v>
      </c>
      <c r="BV20" s="1761">
        <v>35.277777777777779</v>
      </c>
      <c r="BW20" s="1761">
        <v>34.166666666666664</v>
      </c>
      <c r="BX20" s="1761">
        <v>28.888888888888889</v>
      </c>
      <c r="BY20" s="1761">
        <v>21.666666666666668</v>
      </c>
      <c r="BZ20" s="1761">
        <v>15.555555555555555</v>
      </c>
      <c r="CA20" s="1761">
        <v>10.833333333333334</v>
      </c>
      <c r="CB20" s="1761">
        <v>8.8888888888888893</v>
      </c>
      <c r="CC20" s="1761">
        <v>293.33333333333331</v>
      </c>
    </row>
    <row r="21" spans="1:81">
      <c r="A21" s="1760" t="s">
        <v>4395</v>
      </c>
      <c r="B21" s="1760" t="s">
        <v>4394</v>
      </c>
      <c r="C21" s="1760">
        <v>420</v>
      </c>
      <c r="D21" s="1760">
        <v>1.7</v>
      </c>
      <c r="E21" s="1760">
        <v>2.9</v>
      </c>
      <c r="F21" s="1760">
        <v>6.5</v>
      </c>
      <c r="G21" s="1760">
        <v>9.4</v>
      </c>
      <c r="H21" s="1760">
        <v>14.4</v>
      </c>
      <c r="I21" s="1760">
        <v>17.600000000000001</v>
      </c>
      <c r="J21" s="1760">
        <v>20.2</v>
      </c>
      <c r="K21" s="1760">
        <v>20</v>
      </c>
      <c r="L21" s="1760">
        <v>15.4</v>
      </c>
      <c r="M21" s="1760">
        <v>11.2</v>
      </c>
      <c r="N21" s="1760">
        <v>5.6</v>
      </c>
      <c r="O21" s="1760">
        <v>3.1</v>
      </c>
      <c r="P21" s="1760">
        <v>10.7</v>
      </c>
      <c r="Q21" s="1761">
        <v>29.722222222222221</v>
      </c>
      <c r="R21" s="1761">
        <v>50.277777777777779</v>
      </c>
      <c r="S21" s="1761">
        <v>100.55555555555556</v>
      </c>
      <c r="T21" s="1761">
        <v>128.05555555555554</v>
      </c>
      <c r="U21" s="1761">
        <v>164.44444444444443</v>
      </c>
      <c r="V21" s="1761">
        <v>178.61111111111111</v>
      </c>
      <c r="W21" s="1761">
        <v>186.11111111111111</v>
      </c>
      <c r="X21" s="1761">
        <v>159.16666666666666</v>
      </c>
      <c r="Y21" s="1761">
        <v>112.22222222222221</v>
      </c>
      <c r="Z21" s="1761">
        <v>68.333333333333329</v>
      </c>
      <c r="AA21" s="1761">
        <v>33.888888888888886</v>
      </c>
      <c r="AB21" s="1761">
        <v>25.277777777777779</v>
      </c>
      <c r="AC21" s="1761">
        <v>1236.9444444444443</v>
      </c>
      <c r="AD21" s="1761">
        <v>17.777777777777779</v>
      </c>
      <c r="AE21" s="1761">
        <v>29.444444444444443</v>
      </c>
      <c r="AF21" s="1761">
        <v>57.222222222222221</v>
      </c>
      <c r="AG21" s="1761">
        <v>71.944444444444443</v>
      </c>
      <c r="AH21" s="1761">
        <v>88.611111111111114</v>
      </c>
      <c r="AI21" s="1761">
        <v>97.222222222222214</v>
      </c>
      <c r="AJ21" s="1761">
        <v>101.11111111111111</v>
      </c>
      <c r="AK21" s="1761">
        <v>90.833333333333329</v>
      </c>
      <c r="AL21" s="1761">
        <v>62.777777777777779</v>
      </c>
      <c r="AM21" s="1761">
        <v>37.222222222222221</v>
      </c>
      <c r="AN21" s="1761">
        <v>18.611111111111111</v>
      </c>
      <c r="AO21" s="1761">
        <v>15</v>
      </c>
      <c r="AP21" s="1761">
        <v>687.77777777777771</v>
      </c>
      <c r="AQ21" s="1761">
        <v>45.277777777777779</v>
      </c>
      <c r="AR21" s="1761">
        <v>67.777777777777771</v>
      </c>
      <c r="AS21" s="1761">
        <v>100.55555555555556</v>
      </c>
      <c r="AT21" s="1761">
        <v>88.611111111111114</v>
      </c>
      <c r="AU21" s="1761">
        <v>85.555555555555557</v>
      </c>
      <c r="AV21" s="1761">
        <v>81.388888888888886</v>
      </c>
      <c r="AW21" s="1761">
        <v>90.833333333333329</v>
      </c>
      <c r="AX21" s="1761">
        <v>100.55555555555556</v>
      </c>
      <c r="AY21" s="1761">
        <v>98.611111111111114</v>
      </c>
      <c r="AZ21" s="1761">
        <v>81.111111111111114</v>
      </c>
      <c r="BA21" s="1761">
        <v>48.333333333333329</v>
      </c>
      <c r="BB21" s="1761">
        <v>41.666666666666664</v>
      </c>
      <c r="BC21" s="1761">
        <v>930</v>
      </c>
      <c r="BD21" s="1761">
        <v>21.666666666666668</v>
      </c>
      <c r="BE21" s="1761">
        <v>35</v>
      </c>
      <c r="BF21" s="1761">
        <v>61.666666666666664</v>
      </c>
      <c r="BG21" s="1761">
        <v>69.722222222222214</v>
      </c>
      <c r="BH21" s="1761">
        <v>84.722222222222214</v>
      </c>
      <c r="BI21" s="1761">
        <v>91.388888888888886</v>
      </c>
      <c r="BJ21" s="1761">
        <v>98.333333333333329</v>
      </c>
      <c r="BK21" s="1761">
        <v>86.944444444444443</v>
      </c>
      <c r="BL21" s="1761">
        <v>66.111111111111114</v>
      </c>
      <c r="BM21" s="1761">
        <v>44.722222222222221</v>
      </c>
      <c r="BN21" s="1761">
        <v>23.055555555555554</v>
      </c>
      <c r="BO21" s="1761">
        <v>17.222222222222221</v>
      </c>
      <c r="BP21" s="1761">
        <v>700.55555555555554</v>
      </c>
      <c r="BQ21" s="1761">
        <v>11.111111111111111</v>
      </c>
      <c r="BR21" s="1761">
        <v>16.666666666666668</v>
      </c>
      <c r="BS21" s="1761">
        <v>26.666666666666664</v>
      </c>
      <c r="BT21" s="1761">
        <v>33.055555555555557</v>
      </c>
      <c r="BU21" s="1761">
        <v>45.277777777777779</v>
      </c>
      <c r="BV21" s="1761">
        <v>52.5</v>
      </c>
      <c r="BW21" s="1761">
        <v>51.388888888888886</v>
      </c>
      <c r="BX21" s="1761">
        <v>40.833333333333336</v>
      </c>
      <c r="BY21" s="1761">
        <v>28.055555555555554</v>
      </c>
      <c r="BZ21" s="1761">
        <v>19.444444444444443</v>
      </c>
      <c r="CA21" s="1761">
        <v>11.388888888888889</v>
      </c>
      <c r="CB21" s="1761">
        <v>8.8888888888888893</v>
      </c>
      <c r="CC21" s="1761">
        <v>345.83333333333331</v>
      </c>
    </row>
    <row r="22" spans="1:81">
      <c r="A22" s="1760" t="s">
        <v>4393</v>
      </c>
      <c r="B22" s="1760" t="s">
        <v>4392</v>
      </c>
      <c r="C22" s="1760">
        <v>515</v>
      </c>
      <c r="D22" s="1760">
        <v>-0.6</v>
      </c>
      <c r="E22" s="1760">
        <v>0.6</v>
      </c>
      <c r="F22" s="1760">
        <v>4.7</v>
      </c>
      <c r="G22" s="1760">
        <v>8.3000000000000007</v>
      </c>
      <c r="H22" s="1760">
        <v>13.3</v>
      </c>
      <c r="I22" s="1760">
        <v>15.7</v>
      </c>
      <c r="J22" s="1760">
        <v>17.7</v>
      </c>
      <c r="K22" s="1760">
        <v>17.600000000000001</v>
      </c>
      <c r="L22" s="1760">
        <v>13.5</v>
      </c>
      <c r="M22" s="1760">
        <v>9.6</v>
      </c>
      <c r="N22" s="1760">
        <v>3.9</v>
      </c>
      <c r="O22" s="1760">
        <v>0.9</v>
      </c>
      <c r="P22" s="1760">
        <v>8.8000000000000007</v>
      </c>
      <c r="Q22" s="1761">
        <v>32.777777777777779</v>
      </c>
      <c r="R22" s="1761">
        <v>47.777777777777779</v>
      </c>
      <c r="S22" s="1761">
        <v>81.944444444444443</v>
      </c>
      <c r="T22" s="1761">
        <v>114.44444444444444</v>
      </c>
      <c r="U22" s="1761">
        <v>147.22222222222223</v>
      </c>
      <c r="V22" s="1761">
        <v>147.5</v>
      </c>
      <c r="W22" s="1761">
        <v>150.27777777777777</v>
      </c>
      <c r="X22" s="1761">
        <v>130.83333333333334</v>
      </c>
      <c r="Y22" s="1761">
        <v>87.222222222222214</v>
      </c>
      <c r="Z22" s="1761">
        <v>58.888888888888886</v>
      </c>
      <c r="AA22" s="1761">
        <v>33.888888888888886</v>
      </c>
      <c r="AB22" s="1761">
        <v>25.277777777777779</v>
      </c>
      <c r="AC22" s="1761">
        <v>1058.0555555555554</v>
      </c>
      <c r="AD22" s="1761">
        <v>20.833333333333332</v>
      </c>
      <c r="AE22" s="1761">
        <v>28.888888888888889</v>
      </c>
      <c r="AF22" s="1761">
        <v>44.722222222222221</v>
      </c>
      <c r="AG22" s="1761">
        <v>54.722222222222221</v>
      </c>
      <c r="AH22" s="1761">
        <v>67.777777777777771</v>
      </c>
      <c r="AI22" s="1761">
        <v>67.777777777777771</v>
      </c>
      <c r="AJ22" s="1761">
        <v>70</v>
      </c>
      <c r="AK22" s="1761">
        <v>63.333333333333329</v>
      </c>
      <c r="AL22" s="1761">
        <v>43.333333333333336</v>
      </c>
      <c r="AM22" s="1761">
        <v>29.722222222222221</v>
      </c>
      <c r="AN22" s="1761">
        <v>18.055555555555554</v>
      </c>
      <c r="AO22" s="1761">
        <v>14.166666666666666</v>
      </c>
      <c r="AP22" s="1761">
        <v>522.77777777777771</v>
      </c>
      <c r="AQ22" s="1761">
        <v>50.555555555555557</v>
      </c>
      <c r="AR22" s="1761">
        <v>60.555555555555557</v>
      </c>
      <c r="AS22" s="1761">
        <v>75.277777777777771</v>
      </c>
      <c r="AT22" s="1761">
        <v>74.166666666666671</v>
      </c>
      <c r="AU22" s="1761">
        <v>74.444444444444443</v>
      </c>
      <c r="AV22" s="1761">
        <v>65.555555555555557</v>
      </c>
      <c r="AW22" s="1761">
        <v>72.222222222222214</v>
      </c>
      <c r="AX22" s="1761">
        <v>78.888888888888886</v>
      </c>
      <c r="AY22" s="1761">
        <v>68.333333333333329</v>
      </c>
      <c r="AZ22" s="1761">
        <v>60.277777777777779</v>
      </c>
      <c r="BA22" s="1761">
        <v>44.722222222222221</v>
      </c>
      <c r="BB22" s="1761">
        <v>38.055555555555557</v>
      </c>
      <c r="BC22" s="1761">
        <v>762.5</v>
      </c>
      <c r="BD22" s="1761">
        <v>14.166666666666666</v>
      </c>
      <c r="BE22" s="1761">
        <v>21.388888888888889</v>
      </c>
      <c r="BF22" s="1761">
        <v>30.555555555555554</v>
      </c>
      <c r="BG22" s="1761">
        <v>46.111111111111107</v>
      </c>
      <c r="BH22" s="1761">
        <v>62.5</v>
      </c>
      <c r="BI22" s="1761">
        <v>60.555555555555557</v>
      </c>
      <c r="BJ22" s="1761">
        <v>61.666666666666664</v>
      </c>
      <c r="BK22" s="1761">
        <v>54.444444444444443</v>
      </c>
      <c r="BL22" s="1761">
        <v>28.888888888888889</v>
      </c>
      <c r="BM22" s="1761">
        <v>18.611111111111111</v>
      </c>
      <c r="BN22" s="1761">
        <v>11.388888888888889</v>
      </c>
      <c r="BO22" s="1761">
        <v>9.7222222222222214</v>
      </c>
      <c r="BP22" s="1761">
        <v>419.72222222222223</v>
      </c>
      <c r="BQ22" s="1761">
        <v>11.944444444444445</v>
      </c>
      <c r="BR22" s="1761">
        <v>16.666666666666668</v>
      </c>
      <c r="BS22" s="1761">
        <v>23.888888888888889</v>
      </c>
      <c r="BT22" s="1761">
        <v>28.055555555555554</v>
      </c>
      <c r="BU22" s="1761">
        <v>35.833333333333336</v>
      </c>
      <c r="BV22" s="1761">
        <v>37.5</v>
      </c>
      <c r="BW22" s="1761">
        <v>36.388888888888886</v>
      </c>
      <c r="BX22" s="1761">
        <v>31.111111111111111</v>
      </c>
      <c r="BY22" s="1761">
        <v>22.222222222222221</v>
      </c>
      <c r="BZ22" s="1761">
        <v>15.555555555555555</v>
      </c>
      <c r="CA22" s="1761">
        <v>10</v>
      </c>
      <c r="CB22" s="1761">
        <v>8.0555555555555554</v>
      </c>
      <c r="CC22" s="1761">
        <v>277.77777777777777</v>
      </c>
    </row>
    <row r="23" spans="1:81">
      <c r="A23" s="1760" t="s">
        <v>4391</v>
      </c>
      <c r="B23" s="1760" t="s">
        <v>4390</v>
      </c>
      <c r="C23" s="1760">
        <v>2472</v>
      </c>
      <c r="D23" s="1760">
        <v>-7.1</v>
      </c>
      <c r="E23" s="1760">
        <v>-7.2</v>
      </c>
      <c r="F23" s="1760">
        <v>-5.6</v>
      </c>
      <c r="G23" s="1760">
        <v>-3.8</v>
      </c>
      <c r="H23" s="1760">
        <v>1.3</v>
      </c>
      <c r="I23" s="1760">
        <v>4.9000000000000004</v>
      </c>
      <c r="J23" s="1760">
        <v>7.9</v>
      </c>
      <c r="K23" s="1760">
        <v>8.4</v>
      </c>
      <c r="L23" s="1760">
        <v>4.3</v>
      </c>
      <c r="M23" s="1760">
        <v>1</v>
      </c>
      <c r="N23" s="1760">
        <v>-4</v>
      </c>
      <c r="O23" s="1760">
        <v>-5.8</v>
      </c>
      <c r="P23" s="1760">
        <v>-0.5</v>
      </c>
      <c r="Q23" s="1761">
        <v>40.833333333333336</v>
      </c>
      <c r="R23" s="1761">
        <v>73.888888888888886</v>
      </c>
      <c r="S23" s="1761">
        <v>130.83333333333334</v>
      </c>
      <c r="T23" s="1761">
        <v>154.72222222222223</v>
      </c>
      <c r="U23" s="1761">
        <v>174.72222222222223</v>
      </c>
      <c r="V23" s="1761">
        <v>178.61111111111111</v>
      </c>
      <c r="W23" s="1761">
        <v>179.16666666666666</v>
      </c>
      <c r="X23" s="1761">
        <v>156.11111111111111</v>
      </c>
      <c r="Y23" s="1761">
        <v>110.27777777777777</v>
      </c>
      <c r="Z23" s="1761">
        <v>78.055555555555557</v>
      </c>
      <c r="AA23" s="1761">
        <v>45.277777777777779</v>
      </c>
      <c r="AB23" s="1761">
        <v>28.888888888888889</v>
      </c>
      <c r="AC23" s="1761">
        <v>1352.2222222222222</v>
      </c>
      <c r="AD23" s="1761">
        <v>28.888888888888889</v>
      </c>
      <c r="AE23" s="1761">
        <v>59.722222222222221</v>
      </c>
      <c r="AF23" s="1761">
        <v>123.61111111111111</v>
      </c>
      <c r="AG23" s="1761">
        <v>134.72222222222223</v>
      </c>
      <c r="AH23" s="1761">
        <v>136.94444444444443</v>
      </c>
      <c r="AI23" s="1761">
        <v>119.44444444444444</v>
      </c>
      <c r="AJ23" s="1761">
        <v>106.38888888888889</v>
      </c>
      <c r="AK23" s="1761">
        <v>91.388888888888886</v>
      </c>
      <c r="AL23" s="1761">
        <v>64.722222222222214</v>
      </c>
      <c r="AM23" s="1761">
        <v>50.555555555555557</v>
      </c>
      <c r="AN23" s="1761">
        <v>30.833333333333332</v>
      </c>
      <c r="AO23" s="1761">
        <v>21.666666666666668</v>
      </c>
      <c r="AP23" s="1761">
        <v>969.16666666666663</v>
      </c>
      <c r="AQ23" s="1761">
        <v>68.333333333333329</v>
      </c>
      <c r="AR23" s="1761">
        <v>131.11111111111111</v>
      </c>
      <c r="AS23" s="1761">
        <v>186.11111111111111</v>
      </c>
      <c r="AT23" s="1761">
        <v>163.33333333333334</v>
      </c>
      <c r="AU23" s="1761">
        <v>132.5</v>
      </c>
      <c r="AV23" s="1761">
        <v>100.83333333333333</v>
      </c>
      <c r="AW23" s="1761">
        <v>90</v>
      </c>
      <c r="AX23" s="1761">
        <v>94.444444444444443</v>
      </c>
      <c r="AY23" s="1761">
        <v>96.388888888888886</v>
      </c>
      <c r="AZ23" s="1761">
        <v>106.38888888888889</v>
      </c>
      <c r="BA23" s="1761">
        <v>79.166666666666671</v>
      </c>
      <c r="BB23" s="1761">
        <v>35</v>
      </c>
      <c r="BC23" s="1761">
        <v>1283.6111111111111</v>
      </c>
      <c r="BD23" s="1761">
        <v>46.111111111111107</v>
      </c>
      <c r="BE23" s="1761">
        <v>78.055555555555557</v>
      </c>
      <c r="BF23" s="1761">
        <v>125.83333333333333</v>
      </c>
      <c r="BG23" s="1761">
        <v>141.11111111111111</v>
      </c>
      <c r="BH23" s="1761">
        <v>130.27777777777777</v>
      </c>
      <c r="BI23" s="1761">
        <v>106.66666666666666</v>
      </c>
      <c r="BJ23" s="1761">
        <v>92.222222222222214</v>
      </c>
      <c r="BK23" s="1761">
        <v>80.277777777777771</v>
      </c>
      <c r="BL23" s="1761">
        <v>64.166666666666671</v>
      </c>
      <c r="BM23" s="1761">
        <v>59.444444444444443</v>
      </c>
      <c r="BN23" s="1761">
        <v>50.277777777777779</v>
      </c>
      <c r="BO23" s="1761">
        <v>26.111111111111111</v>
      </c>
      <c r="BP23" s="1761">
        <v>1000.2777777777777</v>
      </c>
      <c r="BQ23" s="1761">
        <v>26.666666666666664</v>
      </c>
      <c r="BR23" s="1761">
        <v>45</v>
      </c>
      <c r="BS23" s="1761">
        <v>77.5</v>
      </c>
      <c r="BT23" s="1761">
        <v>90</v>
      </c>
      <c r="BU23" s="1761">
        <v>88.611111111111114</v>
      </c>
      <c r="BV23" s="1761">
        <v>69.722222222222214</v>
      </c>
      <c r="BW23" s="1761">
        <v>51.944444444444443</v>
      </c>
      <c r="BX23" s="1761">
        <v>37.222222222222221</v>
      </c>
      <c r="BY23" s="1761">
        <v>28.055555555555554</v>
      </c>
      <c r="BZ23" s="1761">
        <v>30.555555555555554</v>
      </c>
      <c r="CA23" s="1761">
        <v>28.055555555555554</v>
      </c>
      <c r="CB23" s="1761">
        <v>20</v>
      </c>
      <c r="CC23" s="1761">
        <v>593.61111111111109</v>
      </c>
    </row>
    <row r="24" spans="1:81">
      <c r="A24" s="1760" t="s">
        <v>4389</v>
      </c>
      <c r="B24" s="1760" t="s">
        <v>4388</v>
      </c>
      <c r="C24" s="1760">
        <v>440</v>
      </c>
      <c r="D24" s="1760">
        <v>0.3</v>
      </c>
      <c r="E24" s="1760">
        <v>1.3</v>
      </c>
      <c r="F24" s="1760">
        <v>5.0999999999999996</v>
      </c>
      <c r="G24" s="1760">
        <v>8.1999999999999993</v>
      </c>
      <c r="H24" s="1760">
        <v>13.4</v>
      </c>
      <c r="I24" s="1760">
        <v>16.2</v>
      </c>
      <c r="J24" s="1760">
        <v>18.399999999999999</v>
      </c>
      <c r="K24" s="1760">
        <v>18.3</v>
      </c>
      <c r="L24" s="1760">
        <v>13.9</v>
      </c>
      <c r="M24" s="1760">
        <v>9.6</v>
      </c>
      <c r="N24" s="1760">
        <v>4.2</v>
      </c>
      <c r="O24" s="1760">
        <v>1.8</v>
      </c>
      <c r="P24" s="1760">
        <v>9.1999999999999993</v>
      </c>
      <c r="Q24" s="1761">
        <v>26.666666666666664</v>
      </c>
      <c r="R24" s="1761">
        <v>43.611111111111107</v>
      </c>
      <c r="S24" s="1761">
        <v>86.388888888888886</v>
      </c>
      <c r="T24" s="1761">
        <v>118.88888888888889</v>
      </c>
      <c r="U24" s="1761">
        <v>154.72222222222223</v>
      </c>
      <c r="V24" s="1761">
        <v>163.33333333333334</v>
      </c>
      <c r="W24" s="1761">
        <v>167.5</v>
      </c>
      <c r="X24" s="1761">
        <v>145</v>
      </c>
      <c r="Y24" s="1761">
        <v>95.833333333333329</v>
      </c>
      <c r="Z24" s="1761">
        <v>55.833333333333329</v>
      </c>
      <c r="AA24" s="1761">
        <v>28.055555555555554</v>
      </c>
      <c r="AB24" s="1761">
        <v>20</v>
      </c>
      <c r="AC24" s="1761">
        <v>1105.8333333333333</v>
      </c>
      <c r="AD24" s="1761">
        <v>16.388888888888889</v>
      </c>
      <c r="AE24" s="1761">
        <v>27.5</v>
      </c>
      <c r="AF24" s="1761">
        <v>51.944444444444443</v>
      </c>
      <c r="AG24" s="1761">
        <v>69.722222222222214</v>
      </c>
      <c r="AH24" s="1761">
        <v>86.944444444444443</v>
      </c>
      <c r="AI24" s="1761">
        <v>90.833333333333329</v>
      </c>
      <c r="AJ24" s="1761">
        <v>95.277777777777771</v>
      </c>
      <c r="AK24" s="1761">
        <v>82.5</v>
      </c>
      <c r="AL24" s="1761">
        <v>53.333333333333329</v>
      </c>
      <c r="AM24" s="1761">
        <v>29.722222222222221</v>
      </c>
      <c r="AN24" s="1761">
        <v>15.833333333333332</v>
      </c>
      <c r="AO24" s="1761">
        <v>11.944444444444445</v>
      </c>
      <c r="AP24" s="1761">
        <v>632.22222222222217</v>
      </c>
      <c r="AQ24" s="1761">
        <v>37.222222222222221</v>
      </c>
      <c r="AR24" s="1761">
        <v>55.833333333333329</v>
      </c>
      <c r="AS24" s="1761">
        <v>84.722222222222214</v>
      </c>
      <c r="AT24" s="1761">
        <v>82.777777777777771</v>
      </c>
      <c r="AU24" s="1761">
        <v>82.5</v>
      </c>
      <c r="AV24" s="1761">
        <v>76.944444444444443</v>
      </c>
      <c r="AW24" s="1761">
        <v>84.166666666666671</v>
      </c>
      <c r="AX24" s="1761">
        <v>93.611111111111114</v>
      </c>
      <c r="AY24" s="1761">
        <v>83.611111111111114</v>
      </c>
      <c r="AZ24" s="1761">
        <v>62.5</v>
      </c>
      <c r="BA24" s="1761">
        <v>36.111111111111107</v>
      </c>
      <c r="BB24" s="1761">
        <v>28.333333333333332</v>
      </c>
      <c r="BC24" s="1761">
        <v>808.33333333333326</v>
      </c>
      <c r="BD24" s="1761">
        <v>17.222222222222221</v>
      </c>
      <c r="BE24" s="1761">
        <v>28.888888888888889</v>
      </c>
      <c r="BF24" s="1761">
        <v>51.388888888888886</v>
      </c>
      <c r="BG24" s="1761">
        <v>63.333333333333329</v>
      </c>
      <c r="BH24" s="1761">
        <v>80.277777777777771</v>
      </c>
      <c r="BI24" s="1761">
        <v>84.166666666666671</v>
      </c>
      <c r="BJ24" s="1761">
        <v>88.611111111111114</v>
      </c>
      <c r="BK24" s="1761">
        <v>80.277777777777771</v>
      </c>
      <c r="BL24" s="1761">
        <v>57.5</v>
      </c>
      <c r="BM24" s="1761">
        <v>35</v>
      </c>
      <c r="BN24" s="1761">
        <v>17.222222222222221</v>
      </c>
      <c r="BO24" s="1761">
        <v>11.944444444444445</v>
      </c>
      <c r="BP24" s="1761">
        <v>615.83333333333337</v>
      </c>
      <c r="BQ24" s="1761">
        <v>11.111111111111111</v>
      </c>
      <c r="BR24" s="1761">
        <v>16.111111111111111</v>
      </c>
      <c r="BS24" s="1761">
        <v>26.666666666666664</v>
      </c>
      <c r="BT24" s="1761">
        <v>33.888888888888886</v>
      </c>
      <c r="BU24" s="1761">
        <v>45.277777777777779</v>
      </c>
      <c r="BV24" s="1761">
        <v>50.277777777777779</v>
      </c>
      <c r="BW24" s="1761">
        <v>49.722222222222221</v>
      </c>
      <c r="BX24" s="1761">
        <v>39.444444444444443</v>
      </c>
      <c r="BY24" s="1761">
        <v>27.222222222222221</v>
      </c>
      <c r="BZ24" s="1761">
        <v>17.777777777777779</v>
      </c>
      <c r="CA24" s="1761">
        <v>10.833333333333334</v>
      </c>
      <c r="CB24" s="1761">
        <v>8.0555555555555554</v>
      </c>
      <c r="CC24" s="1761">
        <v>337.22222222222223</v>
      </c>
    </row>
    <row r="25" spans="1:81">
      <c r="A25" s="1760" t="s">
        <v>4387</v>
      </c>
      <c r="B25" s="1760" t="s">
        <v>4386</v>
      </c>
      <c r="C25" s="1760">
        <v>580</v>
      </c>
      <c r="D25" s="1760">
        <v>-0.6</v>
      </c>
      <c r="E25" s="1760">
        <v>0.8</v>
      </c>
      <c r="F25" s="1760">
        <v>4.8</v>
      </c>
      <c r="G25" s="1760">
        <v>7.9</v>
      </c>
      <c r="H25" s="1760">
        <v>13</v>
      </c>
      <c r="I25" s="1760">
        <v>15.7</v>
      </c>
      <c r="J25" s="1760">
        <v>18</v>
      </c>
      <c r="K25" s="1760">
        <v>17.8</v>
      </c>
      <c r="L25" s="1760">
        <v>13.5</v>
      </c>
      <c r="M25" s="1760">
        <v>9.3000000000000007</v>
      </c>
      <c r="N25" s="1760">
        <v>3.7</v>
      </c>
      <c r="O25" s="1760">
        <v>0.9</v>
      </c>
      <c r="P25" s="1760">
        <v>8.6999999999999993</v>
      </c>
      <c r="Q25" s="1761">
        <v>34.166666666666664</v>
      </c>
      <c r="R25" s="1761">
        <v>50.277777777777779</v>
      </c>
      <c r="S25" s="1761">
        <v>91.388888888888886</v>
      </c>
      <c r="T25" s="1761">
        <v>120.27777777777777</v>
      </c>
      <c r="U25" s="1761">
        <v>152.5</v>
      </c>
      <c r="V25" s="1761">
        <v>157.77777777777777</v>
      </c>
      <c r="W25" s="1761">
        <v>164.44444444444443</v>
      </c>
      <c r="X25" s="1761">
        <v>142.22222222222223</v>
      </c>
      <c r="Y25" s="1761">
        <v>100.83333333333333</v>
      </c>
      <c r="Z25" s="1761">
        <v>63.888888888888886</v>
      </c>
      <c r="AA25" s="1761">
        <v>35.277777777777779</v>
      </c>
      <c r="AB25" s="1761">
        <v>26.111111111111111</v>
      </c>
      <c r="AC25" s="1761">
        <v>1139.1666666666667</v>
      </c>
      <c r="AD25" s="1761">
        <v>17.222222222222221</v>
      </c>
      <c r="AE25" s="1761">
        <v>25.555555555555554</v>
      </c>
      <c r="AF25" s="1761">
        <v>43.888888888888886</v>
      </c>
      <c r="AG25" s="1761">
        <v>58.333333333333329</v>
      </c>
      <c r="AH25" s="1761">
        <v>78.888888888888886</v>
      </c>
      <c r="AI25" s="1761">
        <v>83.611111111111114</v>
      </c>
      <c r="AJ25" s="1761">
        <v>87.777777777777771</v>
      </c>
      <c r="AK25" s="1761">
        <v>72.777777777777771</v>
      </c>
      <c r="AL25" s="1761">
        <v>46.666666666666664</v>
      </c>
      <c r="AM25" s="1761">
        <v>26.666666666666664</v>
      </c>
      <c r="AN25" s="1761">
        <v>14.444444444444445</v>
      </c>
      <c r="AO25" s="1761">
        <v>11.111111111111111</v>
      </c>
      <c r="AP25" s="1761">
        <v>567.22222222222217</v>
      </c>
      <c r="AQ25" s="1761">
        <v>55</v>
      </c>
      <c r="AR25" s="1761">
        <v>66.666666666666671</v>
      </c>
      <c r="AS25" s="1761">
        <v>88.611111111111114</v>
      </c>
      <c r="AT25" s="1761">
        <v>80</v>
      </c>
      <c r="AU25" s="1761">
        <v>76.666666666666671</v>
      </c>
      <c r="AV25" s="1761">
        <v>69.166666666666671</v>
      </c>
      <c r="AW25" s="1761">
        <v>78.055555555555557</v>
      </c>
      <c r="AX25" s="1761">
        <v>86.944444444444443</v>
      </c>
      <c r="AY25" s="1761">
        <v>84.166666666666671</v>
      </c>
      <c r="AZ25" s="1761">
        <v>70</v>
      </c>
      <c r="BA25" s="1761">
        <v>48.888888888888886</v>
      </c>
      <c r="BB25" s="1761">
        <v>39.444444444444443</v>
      </c>
      <c r="BC25" s="1761">
        <v>843.61111111111109</v>
      </c>
      <c r="BD25" s="1761">
        <v>22.222222222222221</v>
      </c>
      <c r="BE25" s="1761">
        <v>31.666666666666664</v>
      </c>
      <c r="BF25" s="1761">
        <v>51.388888888888886</v>
      </c>
      <c r="BG25" s="1761">
        <v>60.555555555555557</v>
      </c>
      <c r="BH25" s="1761">
        <v>70</v>
      </c>
      <c r="BI25" s="1761">
        <v>69.722222222222214</v>
      </c>
      <c r="BJ25" s="1761">
        <v>75.277777777777771</v>
      </c>
      <c r="BK25" s="1761">
        <v>69.166666666666671</v>
      </c>
      <c r="BL25" s="1761">
        <v>52.5</v>
      </c>
      <c r="BM25" s="1761">
        <v>33.611111111111107</v>
      </c>
      <c r="BN25" s="1761">
        <v>20.277777777777779</v>
      </c>
      <c r="BO25" s="1761">
        <v>15.555555555555555</v>
      </c>
      <c r="BP25" s="1761">
        <v>571.66666666666663</v>
      </c>
      <c r="BQ25" s="1761">
        <v>12.777777777777777</v>
      </c>
      <c r="BR25" s="1761">
        <v>18.055555555555554</v>
      </c>
      <c r="BS25" s="1761">
        <v>26.111111111111111</v>
      </c>
      <c r="BT25" s="1761">
        <v>30.277777777777779</v>
      </c>
      <c r="BU25" s="1761">
        <v>39.444444444444443</v>
      </c>
      <c r="BV25" s="1761">
        <v>43.888888888888886</v>
      </c>
      <c r="BW25" s="1761">
        <v>43.055555555555557</v>
      </c>
      <c r="BX25" s="1761">
        <v>35</v>
      </c>
      <c r="BY25" s="1761">
        <v>25.277777777777779</v>
      </c>
      <c r="BZ25" s="1761">
        <v>17.222222222222221</v>
      </c>
      <c r="CA25" s="1761">
        <v>10.833333333333334</v>
      </c>
      <c r="CB25" s="1761">
        <v>8.8888888888888893</v>
      </c>
      <c r="CC25" s="1761">
        <v>310.55555555555554</v>
      </c>
    </row>
    <row r="26" spans="1:81">
      <c r="A26" s="1762" t="s">
        <v>4385</v>
      </c>
      <c r="B26" s="1760" t="s">
        <v>4384</v>
      </c>
      <c r="C26" s="1760">
        <v>1019</v>
      </c>
      <c r="D26" s="1760">
        <v>-1.4</v>
      </c>
      <c r="E26" s="1760">
        <v>-0.7</v>
      </c>
      <c r="F26" s="1760">
        <v>2.1</v>
      </c>
      <c r="G26" s="1760">
        <v>4.8</v>
      </c>
      <c r="H26" s="1760">
        <v>9.8000000000000007</v>
      </c>
      <c r="I26" s="1760">
        <v>12.6</v>
      </c>
      <c r="J26" s="1760">
        <v>15</v>
      </c>
      <c r="K26" s="1760">
        <v>15.1</v>
      </c>
      <c r="L26" s="1760">
        <v>11</v>
      </c>
      <c r="M26" s="1760">
        <v>7.8</v>
      </c>
      <c r="N26" s="1760">
        <v>2.2999999999999998</v>
      </c>
      <c r="O26" s="1760">
        <v>0.1</v>
      </c>
      <c r="P26" s="1760">
        <v>6.5</v>
      </c>
      <c r="Q26" s="1761">
        <v>39.444444444444443</v>
      </c>
      <c r="R26" s="1761">
        <v>56.388888888888886</v>
      </c>
      <c r="S26" s="1761">
        <v>95.277777777777771</v>
      </c>
      <c r="T26" s="1761">
        <v>118.05555555555556</v>
      </c>
      <c r="U26" s="1761">
        <v>140.55555555555554</v>
      </c>
      <c r="V26" s="1761">
        <v>155.55555555555554</v>
      </c>
      <c r="W26" s="1761">
        <v>165.83333333333334</v>
      </c>
      <c r="X26" s="1761">
        <v>145.83333333333334</v>
      </c>
      <c r="Y26" s="1761">
        <v>100.83333333333333</v>
      </c>
      <c r="Z26" s="1761">
        <v>67.777777777777771</v>
      </c>
      <c r="AA26" s="1761">
        <v>40.277777777777779</v>
      </c>
      <c r="AB26" s="1761">
        <v>30.555555555555554</v>
      </c>
      <c r="AC26" s="1761">
        <v>1156.3888888888889</v>
      </c>
      <c r="AD26" s="1761">
        <v>33.611111111111107</v>
      </c>
      <c r="AE26" s="1761">
        <v>46.388888888888886</v>
      </c>
      <c r="AF26" s="1761">
        <v>70.555555555555557</v>
      </c>
      <c r="AG26" s="1761">
        <v>77.777777777777771</v>
      </c>
      <c r="AH26" s="1761">
        <v>86.944444444444443</v>
      </c>
      <c r="AI26" s="1761">
        <v>94.444444444444443</v>
      </c>
      <c r="AJ26" s="1761">
        <v>99.722222222222214</v>
      </c>
      <c r="AK26" s="1761">
        <v>91.388888888888886</v>
      </c>
      <c r="AL26" s="1761">
        <v>62.777777777777779</v>
      </c>
      <c r="AM26" s="1761">
        <v>42.5</v>
      </c>
      <c r="AN26" s="1761">
        <v>28.888888888888889</v>
      </c>
      <c r="AO26" s="1761">
        <v>24.444444444444443</v>
      </c>
      <c r="AP26" s="1761">
        <v>759.16666666666663</v>
      </c>
      <c r="AQ26" s="1761">
        <v>83.333333333333329</v>
      </c>
      <c r="AR26" s="1761">
        <v>91.388888888888886</v>
      </c>
      <c r="AS26" s="1761">
        <v>107.22222222222221</v>
      </c>
      <c r="AT26" s="1761">
        <v>85.555555555555557</v>
      </c>
      <c r="AU26" s="1761">
        <v>72.777777777777771</v>
      </c>
      <c r="AV26" s="1761">
        <v>71.388888888888886</v>
      </c>
      <c r="AW26" s="1761">
        <v>81.111111111111114</v>
      </c>
      <c r="AX26" s="1761">
        <v>90.833333333333329</v>
      </c>
      <c r="AY26" s="1761">
        <v>87.777777777777771</v>
      </c>
      <c r="AZ26" s="1761">
        <v>85.555555555555557</v>
      </c>
      <c r="BA26" s="1761">
        <v>71.944444444444443</v>
      </c>
      <c r="BB26" s="1761">
        <v>64.722222222222214</v>
      </c>
      <c r="BC26" s="1761">
        <v>993.61111111111109</v>
      </c>
      <c r="BD26" s="1761">
        <v>33.611111111111107</v>
      </c>
      <c r="BE26" s="1761">
        <v>46.388888888888886</v>
      </c>
      <c r="BF26" s="1761">
        <v>66.111111111111114</v>
      </c>
      <c r="BG26" s="1761">
        <v>66.944444444444443</v>
      </c>
      <c r="BH26" s="1761">
        <v>70</v>
      </c>
      <c r="BI26" s="1761">
        <v>76.944444444444443</v>
      </c>
      <c r="BJ26" s="1761">
        <v>86.388888888888886</v>
      </c>
      <c r="BK26" s="1761">
        <v>76.666666666666671</v>
      </c>
      <c r="BL26" s="1761">
        <v>56.944444444444443</v>
      </c>
      <c r="BM26" s="1761">
        <v>40.833333333333336</v>
      </c>
      <c r="BN26" s="1761">
        <v>28.055555555555554</v>
      </c>
      <c r="BO26" s="1761">
        <v>24.444444444444443</v>
      </c>
      <c r="BP26" s="1761">
        <v>673.33333333333337</v>
      </c>
      <c r="BQ26" s="1761">
        <v>18.611111111111111</v>
      </c>
      <c r="BR26" s="1761">
        <v>26.111111111111111</v>
      </c>
      <c r="BS26" s="1761">
        <v>37.222222222222221</v>
      </c>
      <c r="BT26" s="1761">
        <v>38.055555555555557</v>
      </c>
      <c r="BU26" s="1761">
        <v>43.055555555555557</v>
      </c>
      <c r="BV26" s="1761">
        <v>50.277777777777779</v>
      </c>
      <c r="BW26" s="1761">
        <v>49.722222222222221</v>
      </c>
      <c r="BX26" s="1761">
        <v>39.444444444444443</v>
      </c>
      <c r="BY26" s="1761">
        <v>26.666666666666664</v>
      </c>
      <c r="BZ26" s="1761">
        <v>18.611111111111111</v>
      </c>
      <c r="CA26" s="1761">
        <v>14.444444444444445</v>
      </c>
      <c r="CB26" s="1761">
        <v>13.333333333333332</v>
      </c>
      <c r="CC26" s="1761">
        <v>376.11111111111109</v>
      </c>
    </row>
    <row r="27" spans="1:81">
      <c r="A27" s="1762" t="s">
        <v>4383</v>
      </c>
      <c r="B27" s="1760" t="s">
        <v>4382</v>
      </c>
      <c r="C27" s="1760">
        <v>1202</v>
      </c>
      <c r="D27" s="1760">
        <v>-1.2</v>
      </c>
      <c r="E27" s="1760">
        <v>-0.8</v>
      </c>
      <c r="F27" s="1760">
        <v>1.6</v>
      </c>
      <c r="G27" s="1760">
        <v>3.8</v>
      </c>
      <c r="H27" s="1760">
        <v>8.8000000000000007</v>
      </c>
      <c r="I27" s="1760">
        <v>11.7</v>
      </c>
      <c r="J27" s="1760">
        <v>14.2</v>
      </c>
      <c r="K27" s="1760">
        <v>14.5</v>
      </c>
      <c r="L27" s="1760">
        <v>10.4</v>
      </c>
      <c r="M27" s="1760">
        <v>7.1</v>
      </c>
      <c r="N27" s="1760">
        <v>2</v>
      </c>
      <c r="O27" s="1760">
        <v>0.1</v>
      </c>
      <c r="P27" s="1760">
        <v>6</v>
      </c>
      <c r="Q27" s="1761">
        <v>40.277777777777779</v>
      </c>
      <c r="R27" s="1761">
        <v>56.388888888888886</v>
      </c>
      <c r="S27" s="1761">
        <v>96.111111111111114</v>
      </c>
      <c r="T27" s="1761">
        <v>116.66666666666666</v>
      </c>
      <c r="U27" s="1761">
        <v>144.44444444444443</v>
      </c>
      <c r="V27" s="1761">
        <v>156.11111111111111</v>
      </c>
      <c r="W27" s="1761">
        <v>165.83333333333334</v>
      </c>
      <c r="X27" s="1761">
        <v>144.44444444444443</v>
      </c>
      <c r="Y27" s="1761">
        <v>99.444444444444443</v>
      </c>
      <c r="Z27" s="1761">
        <v>65.555555555555557</v>
      </c>
      <c r="AA27" s="1761">
        <v>38.888888888888886</v>
      </c>
      <c r="AB27" s="1761">
        <v>31.111111111111111</v>
      </c>
      <c r="AC27" s="1761">
        <v>1155</v>
      </c>
      <c r="AD27" s="1761">
        <v>28.888888888888889</v>
      </c>
      <c r="AE27" s="1761">
        <v>38.888888888888886</v>
      </c>
      <c r="AF27" s="1761">
        <v>61.666666666666664</v>
      </c>
      <c r="AG27" s="1761">
        <v>73.333333333333329</v>
      </c>
      <c r="AH27" s="1761">
        <v>85.555555555555557</v>
      </c>
      <c r="AI27" s="1761">
        <v>95</v>
      </c>
      <c r="AJ27" s="1761">
        <v>99.722222222222214</v>
      </c>
      <c r="AK27" s="1761">
        <v>92.222222222222214</v>
      </c>
      <c r="AL27" s="1761">
        <v>63.333333333333329</v>
      </c>
      <c r="AM27" s="1761">
        <v>43.888888888888886</v>
      </c>
      <c r="AN27" s="1761">
        <v>28.055555555555554</v>
      </c>
      <c r="AO27" s="1761">
        <v>22.222222222222221</v>
      </c>
      <c r="AP27" s="1761">
        <v>733.33333333333337</v>
      </c>
      <c r="AQ27" s="1761">
        <v>75.833333333333329</v>
      </c>
      <c r="AR27" s="1761">
        <v>82.777777777777771</v>
      </c>
      <c r="AS27" s="1761">
        <v>96.666666666666657</v>
      </c>
      <c r="AT27" s="1761">
        <v>79.166666666666671</v>
      </c>
      <c r="AU27" s="1761">
        <v>75.277777777777771</v>
      </c>
      <c r="AV27" s="1761">
        <v>71.388888888888886</v>
      </c>
      <c r="AW27" s="1761">
        <v>80.277777777777771</v>
      </c>
      <c r="AX27" s="1761">
        <v>90</v>
      </c>
      <c r="AY27" s="1761">
        <v>85.555555555555557</v>
      </c>
      <c r="AZ27" s="1761">
        <v>81.111111111111114</v>
      </c>
      <c r="BA27" s="1761">
        <v>64.722222222222214</v>
      </c>
      <c r="BB27" s="1761">
        <v>62.5</v>
      </c>
      <c r="BC27" s="1761">
        <v>945.27777777777771</v>
      </c>
      <c r="BD27" s="1761">
        <v>23.888888888888889</v>
      </c>
      <c r="BE27" s="1761">
        <v>33.611111111111107</v>
      </c>
      <c r="BF27" s="1761">
        <v>54.444444444444443</v>
      </c>
      <c r="BG27" s="1761">
        <v>56.944444444444443</v>
      </c>
      <c r="BH27" s="1761">
        <v>69.166666666666671</v>
      </c>
      <c r="BI27" s="1761">
        <v>74.166666666666671</v>
      </c>
      <c r="BJ27" s="1761">
        <v>81.111111111111114</v>
      </c>
      <c r="BK27" s="1761">
        <v>71.388888888888886</v>
      </c>
      <c r="BL27" s="1761">
        <v>54.722222222222221</v>
      </c>
      <c r="BM27" s="1761">
        <v>38.611111111111107</v>
      </c>
      <c r="BN27" s="1761">
        <v>21.666666666666668</v>
      </c>
      <c r="BO27" s="1761">
        <v>18.611111111111111</v>
      </c>
      <c r="BP27" s="1761">
        <v>598.05555555555554</v>
      </c>
      <c r="BQ27" s="1761">
        <v>11.111111111111111</v>
      </c>
      <c r="BR27" s="1761">
        <v>14.722222222222221</v>
      </c>
      <c r="BS27" s="1761">
        <v>24.444444444444443</v>
      </c>
      <c r="BT27" s="1761">
        <v>31.666666666666664</v>
      </c>
      <c r="BU27" s="1761">
        <v>40.833333333333336</v>
      </c>
      <c r="BV27" s="1761">
        <v>48.333333333333329</v>
      </c>
      <c r="BW27" s="1761">
        <v>47.5</v>
      </c>
      <c r="BX27" s="1761">
        <v>38.055555555555557</v>
      </c>
      <c r="BY27" s="1761">
        <v>25.833333333333332</v>
      </c>
      <c r="BZ27" s="1761">
        <v>17.777777777777779</v>
      </c>
      <c r="CA27" s="1761">
        <v>11.388888888888889</v>
      </c>
      <c r="CB27" s="1761">
        <v>9.7222222222222214</v>
      </c>
      <c r="CC27" s="1761">
        <v>321.94444444444446</v>
      </c>
    </row>
    <row r="28" spans="1:81">
      <c r="A28" s="1760" t="s">
        <v>4381</v>
      </c>
      <c r="B28" s="1760" t="s">
        <v>4380</v>
      </c>
      <c r="C28" s="1760">
        <v>366</v>
      </c>
      <c r="D28" s="1760">
        <v>3.3</v>
      </c>
      <c r="E28" s="1760">
        <v>4.9000000000000004</v>
      </c>
      <c r="F28" s="1760">
        <v>9</v>
      </c>
      <c r="G28" s="1760">
        <v>11.5</v>
      </c>
      <c r="H28" s="1760">
        <v>15.8</v>
      </c>
      <c r="I28" s="1760">
        <v>19.100000000000001</v>
      </c>
      <c r="J28" s="1760">
        <v>21.7</v>
      </c>
      <c r="K28" s="1760">
        <v>21.5</v>
      </c>
      <c r="L28" s="1760">
        <v>17</v>
      </c>
      <c r="M28" s="1760">
        <v>12.6</v>
      </c>
      <c r="N28" s="1760">
        <v>7.3</v>
      </c>
      <c r="O28" s="1760">
        <v>4.4000000000000004</v>
      </c>
      <c r="P28" s="1760">
        <v>12.3</v>
      </c>
      <c r="Q28" s="1761">
        <v>43.888888888888886</v>
      </c>
      <c r="R28" s="1761">
        <v>63.055555555555557</v>
      </c>
      <c r="S28" s="1761">
        <v>108.61111111111111</v>
      </c>
      <c r="T28" s="1761">
        <v>123.05555555555556</v>
      </c>
      <c r="U28" s="1761">
        <v>148.88888888888889</v>
      </c>
      <c r="V28" s="1761">
        <v>170.55555555555554</v>
      </c>
      <c r="W28" s="1761">
        <v>180</v>
      </c>
      <c r="X28" s="1761">
        <v>158.33333333333334</v>
      </c>
      <c r="Y28" s="1761">
        <v>108.61111111111111</v>
      </c>
      <c r="Z28" s="1761">
        <v>70</v>
      </c>
      <c r="AA28" s="1761">
        <v>42.5</v>
      </c>
      <c r="AB28" s="1761">
        <v>35.833333333333336</v>
      </c>
      <c r="AC28" s="1761">
        <v>1253.6111111111111</v>
      </c>
      <c r="AD28" s="1761">
        <v>28.333333333333332</v>
      </c>
      <c r="AE28" s="1761">
        <v>42.222222222222221</v>
      </c>
      <c r="AF28" s="1761">
        <v>65.555555555555557</v>
      </c>
      <c r="AG28" s="1761">
        <v>68.333333333333329</v>
      </c>
      <c r="AH28" s="1761">
        <v>78.055555555555557</v>
      </c>
      <c r="AI28" s="1761">
        <v>88.611111111111114</v>
      </c>
      <c r="AJ28" s="1761">
        <v>94.444444444444443</v>
      </c>
      <c r="AK28" s="1761">
        <v>86.944444444444443</v>
      </c>
      <c r="AL28" s="1761">
        <v>61.944444444444443</v>
      </c>
      <c r="AM28" s="1761">
        <v>43.055555555555557</v>
      </c>
      <c r="AN28" s="1761">
        <v>25.833333333333332</v>
      </c>
      <c r="AO28" s="1761">
        <v>21.666666666666668</v>
      </c>
      <c r="AP28" s="1761">
        <v>705.27777777777771</v>
      </c>
      <c r="AQ28" s="1761">
        <v>88.611111111111114</v>
      </c>
      <c r="AR28" s="1761">
        <v>94.722222222222214</v>
      </c>
      <c r="AS28" s="1761">
        <v>112.22222222222221</v>
      </c>
      <c r="AT28" s="1761">
        <v>85</v>
      </c>
      <c r="AU28" s="1761">
        <v>76.666666666666671</v>
      </c>
      <c r="AV28" s="1761">
        <v>76.944444444444443</v>
      </c>
      <c r="AW28" s="1761">
        <v>87.777777777777771</v>
      </c>
      <c r="AX28" s="1761">
        <v>98.888888888888886</v>
      </c>
      <c r="AY28" s="1761">
        <v>95</v>
      </c>
      <c r="AZ28" s="1761">
        <v>88.611111111111114</v>
      </c>
      <c r="BA28" s="1761">
        <v>73.333333333333329</v>
      </c>
      <c r="BB28" s="1761">
        <v>75.277777777777771</v>
      </c>
      <c r="BC28" s="1761">
        <v>1053.0555555555554</v>
      </c>
      <c r="BD28" s="1761">
        <v>30.555555555555554</v>
      </c>
      <c r="BE28" s="1761">
        <v>38.888888888888886</v>
      </c>
      <c r="BF28" s="1761">
        <v>61.666666666666664</v>
      </c>
      <c r="BG28" s="1761">
        <v>66.944444444444443</v>
      </c>
      <c r="BH28" s="1761">
        <v>74.444444444444443</v>
      </c>
      <c r="BI28" s="1761">
        <v>82.777777777777771</v>
      </c>
      <c r="BJ28" s="1761">
        <v>89.166666666666671</v>
      </c>
      <c r="BK28" s="1761">
        <v>81.944444444444443</v>
      </c>
      <c r="BL28" s="1761">
        <v>61.111111111111107</v>
      </c>
      <c r="BM28" s="1761">
        <v>39.444444444444443</v>
      </c>
      <c r="BN28" s="1761">
        <v>25.277777777777779</v>
      </c>
      <c r="BO28" s="1761">
        <v>23.888888888888889</v>
      </c>
      <c r="BP28" s="1761">
        <v>676.11111111111109</v>
      </c>
      <c r="BQ28" s="1761">
        <v>12.777777777777777</v>
      </c>
      <c r="BR28" s="1761">
        <v>16.666666666666668</v>
      </c>
      <c r="BS28" s="1761">
        <v>23.888888888888889</v>
      </c>
      <c r="BT28" s="1761">
        <v>28.055555555555554</v>
      </c>
      <c r="BU28" s="1761">
        <v>36.388888888888886</v>
      </c>
      <c r="BV28" s="1761">
        <v>43.333333333333336</v>
      </c>
      <c r="BW28" s="1761">
        <v>44.722222222222221</v>
      </c>
      <c r="BX28" s="1761">
        <v>36.388888888888886</v>
      </c>
      <c r="BY28" s="1761">
        <v>24.444444444444443</v>
      </c>
      <c r="BZ28" s="1761">
        <v>16.388888888888889</v>
      </c>
      <c r="CA28" s="1761">
        <v>10.833333333333334</v>
      </c>
      <c r="CB28" s="1761">
        <v>9.7222222222222214</v>
      </c>
      <c r="CC28" s="1761">
        <v>303.33333333333331</v>
      </c>
    </row>
    <row r="29" spans="1:81">
      <c r="A29" s="1760" t="s">
        <v>4379</v>
      </c>
      <c r="B29" s="1760" t="s">
        <v>4378</v>
      </c>
      <c r="C29" s="1760">
        <v>273</v>
      </c>
      <c r="D29" s="1760">
        <v>3.3</v>
      </c>
      <c r="E29" s="1760">
        <v>4.8</v>
      </c>
      <c r="F29" s="1760">
        <v>8.6</v>
      </c>
      <c r="G29" s="1760">
        <v>11.3</v>
      </c>
      <c r="H29" s="1760">
        <v>15.8</v>
      </c>
      <c r="I29" s="1760">
        <v>19.3</v>
      </c>
      <c r="J29" s="1760">
        <v>22</v>
      </c>
      <c r="K29" s="1760">
        <v>21.7</v>
      </c>
      <c r="L29" s="1760">
        <v>17.3</v>
      </c>
      <c r="M29" s="1760">
        <v>12.9</v>
      </c>
      <c r="N29" s="1760">
        <v>7.8</v>
      </c>
      <c r="O29" s="1760">
        <v>4.5</v>
      </c>
      <c r="P29" s="1760">
        <v>12.4</v>
      </c>
      <c r="Q29" s="1761">
        <v>42.5</v>
      </c>
      <c r="R29" s="1761">
        <v>60.555555555555557</v>
      </c>
      <c r="S29" s="1761">
        <v>102.77777777777777</v>
      </c>
      <c r="T29" s="1761">
        <v>116.66666666666666</v>
      </c>
      <c r="U29" s="1761">
        <v>145.83333333333334</v>
      </c>
      <c r="V29" s="1761">
        <v>166.94444444444443</v>
      </c>
      <c r="W29" s="1761">
        <v>178.61111111111111</v>
      </c>
      <c r="X29" s="1761">
        <v>161.38888888888889</v>
      </c>
      <c r="Y29" s="1761">
        <v>110.27777777777777</v>
      </c>
      <c r="Z29" s="1761">
        <v>69.166666666666671</v>
      </c>
      <c r="AA29" s="1761">
        <v>41.666666666666664</v>
      </c>
      <c r="AB29" s="1761">
        <v>34.166666666666664</v>
      </c>
      <c r="AC29" s="1761">
        <v>1230.2777777777778</v>
      </c>
      <c r="AD29" s="1761">
        <v>23.888888888888889</v>
      </c>
      <c r="AE29" s="1761">
        <v>36.388888888888886</v>
      </c>
      <c r="AF29" s="1761">
        <v>58.888888888888886</v>
      </c>
      <c r="AG29" s="1761">
        <v>61.944444444444443</v>
      </c>
      <c r="AH29" s="1761">
        <v>70</v>
      </c>
      <c r="AI29" s="1761">
        <v>79.166666666666671</v>
      </c>
      <c r="AJ29" s="1761">
        <v>86.388888888888886</v>
      </c>
      <c r="AK29" s="1761">
        <v>82.5</v>
      </c>
      <c r="AL29" s="1761">
        <v>60.555555555555557</v>
      </c>
      <c r="AM29" s="1761">
        <v>38.055555555555557</v>
      </c>
      <c r="AN29" s="1761">
        <v>21.666666666666668</v>
      </c>
      <c r="AO29" s="1761">
        <v>17.777777777777779</v>
      </c>
      <c r="AP29" s="1761">
        <v>636.66666666666663</v>
      </c>
      <c r="AQ29" s="1761">
        <v>79.722222222222214</v>
      </c>
      <c r="AR29" s="1761">
        <v>87.222222222222214</v>
      </c>
      <c r="AS29" s="1761">
        <v>102.77777777777777</v>
      </c>
      <c r="AT29" s="1761">
        <v>79.166666666666671</v>
      </c>
      <c r="AU29" s="1761">
        <v>75.277777777777771</v>
      </c>
      <c r="AV29" s="1761">
        <v>76.388888888888886</v>
      </c>
      <c r="AW29" s="1761">
        <v>86.944444444444443</v>
      </c>
      <c r="AX29" s="1761">
        <v>101.11111111111111</v>
      </c>
      <c r="AY29" s="1761">
        <v>95.833333333333329</v>
      </c>
      <c r="AZ29" s="1761">
        <v>85.555555555555557</v>
      </c>
      <c r="BA29" s="1761">
        <v>69.722222222222214</v>
      </c>
      <c r="BB29" s="1761">
        <v>68.333333333333329</v>
      </c>
      <c r="BC29" s="1761">
        <v>1008.0555555555555</v>
      </c>
      <c r="BD29" s="1761">
        <v>31.111111111111111</v>
      </c>
      <c r="BE29" s="1761">
        <v>41.111111111111107</v>
      </c>
      <c r="BF29" s="1761">
        <v>59.444444444444443</v>
      </c>
      <c r="BG29" s="1761">
        <v>61.944444444444443</v>
      </c>
      <c r="BH29" s="1761">
        <v>73.611111111111114</v>
      </c>
      <c r="BI29" s="1761">
        <v>85</v>
      </c>
      <c r="BJ29" s="1761">
        <v>92.222222222222214</v>
      </c>
      <c r="BK29" s="1761">
        <v>87.777777777777771</v>
      </c>
      <c r="BL29" s="1761">
        <v>64.166666666666671</v>
      </c>
      <c r="BM29" s="1761">
        <v>42.5</v>
      </c>
      <c r="BN29" s="1761">
        <v>28.055555555555554</v>
      </c>
      <c r="BO29" s="1761">
        <v>26.111111111111111</v>
      </c>
      <c r="BP29" s="1761">
        <v>693.05555555555554</v>
      </c>
      <c r="BQ29" s="1761">
        <v>12.777777777777777</v>
      </c>
      <c r="BR29" s="1761">
        <v>18.055555555555554</v>
      </c>
      <c r="BS29" s="1761">
        <v>26.111111111111111</v>
      </c>
      <c r="BT29" s="1761">
        <v>29.444444444444443</v>
      </c>
      <c r="BU29" s="1761">
        <v>39.444444444444443</v>
      </c>
      <c r="BV29" s="1761">
        <v>45.277777777777779</v>
      </c>
      <c r="BW29" s="1761">
        <v>46.111111111111107</v>
      </c>
      <c r="BX29" s="1761">
        <v>38.055555555555557</v>
      </c>
      <c r="BY29" s="1761">
        <v>26.666666666666664</v>
      </c>
      <c r="BZ29" s="1761">
        <v>17.777777777777779</v>
      </c>
      <c r="CA29" s="1761">
        <v>11.388888888888889</v>
      </c>
      <c r="CB29" s="1761">
        <v>10.277777777777777</v>
      </c>
      <c r="CC29" s="1761">
        <v>321.66666666666669</v>
      </c>
    </row>
    <row r="30" spans="1:81">
      <c r="A30" s="1760" t="s">
        <v>4377</v>
      </c>
      <c r="B30" s="1760" t="s">
        <v>4376</v>
      </c>
      <c r="C30" s="1760">
        <v>456</v>
      </c>
      <c r="D30" s="1760">
        <v>0.5</v>
      </c>
      <c r="E30" s="1760">
        <v>1.8</v>
      </c>
      <c r="F30" s="1760">
        <v>5.7</v>
      </c>
      <c r="G30" s="1760">
        <v>8.8000000000000007</v>
      </c>
      <c r="H30" s="1760">
        <v>13.9</v>
      </c>
      <c r="I30" s="1760">
        <v>16.7</v>
      </c>
      <c r="J30" s="1760">
        <v>19</v>
      </c>
      <c r="K30" s="1760">
        <v>18.8</v>
      </c>
      <c r="L30" s="1760">
        <v>14.4</v>
      </c>
      <c r="M30" s="1760">
        <v>10.199999999999999</v>
      </c>
      <c r="N30" s="1760">
        <v>4.5</v>
      </c>
      <c r="O30" s="1760">
        <v>2</v>
      </c>
      <c r="P30" s="1760">
        <v>9.6999999999999993</v>
      </c>
      <c r="Q30" s="1761">
        <v>28.333333333333332</v>
      </c>
      <c r="R30" s="1761">
        <v>45</v>
      </c>
      <c r="S30" s="1761">
        <v>84.722222222222214</v>
      </c>
      <c r="T30" s="1761">
        <v>109.44444444444444</v>
      </c>
      <c r="U30" s="1761">
        <v>137.77777777777777</v>
      </c>
      <c r="V30" s="1761">
        <v>146.94444444444443</v>
      </c>
      <c r="W30" s="1761">
        <v>154.72222222222223</v>
      </c>
      <c r="X30" s="1761">
        <v>136.94444444444443</v>
      </c>
      <c r="Y30" s="1761">
        <v>92.777777777777771</v>
      </c>
      <c r="Z30" s="1761">
        <v>57.222222222222221</v>
      </c>
      <c r="AA30" s="1761">
        <v>30.277777777777779</v>
      </c>
      <c r="AB30" s="1761">
        <v>22.222222222222221</v>
      </c>
      <c r="AC30" s="1761">
        <v>1046.3888888888889</v>
      </c>
      <c r="AD30" s="1761">
        <v>18.611111111111111</v>
      </c>
      <c r="AE30" s="1761">
        <v>28.888888888888889</v>
      </c>
      <c r="AF30" s="1761">
        <v>51.388888888888886</v>
      </c>
      <c r="AG30" s="1761">
        <v>63.333333333333329</v>
      </c>
      <c r="AH30" s="1761">
        <v>78.888888888888886</v>
      </c>
      <c r="AI30" s="1761">
        <v>83.611111111111114</v>
      </c>
      <c r="AJ30" s="1761">
        <v>89.166666666666671</v>
      </c>
      <c r="AK30" s="1761">
        <v>79.722222222222214</v>
      </c>
      <c r="AL30" s="1761">
        <v>53.333333333333329</v>
      </c>
      <c r="AM30" s="1761">
        <v>32.777777777777779</v>
      </c>
      <c r="AN30" s="1761">
        <v>17.222222222222221</v>
      </c>
      <c r="AO30" s="1761">
        <v>14.166666666666666</v>
      </c>
      <c r="AP30" s="1761">
        <v>610.83333333333337</v>
      </c>
      <c r="AQ30" s="1761">
        <v>42.5</v>
      </c>
      <c r="AR30" s="1761">
        <v>57.777777777777779</v>
      </c>
      <c r="AS30" s="1761">
        <v>81.944444444444443</v>
      </c>
      <c r="AT30" s="1761">
        <v>72.777777777777771</v>
      </c>
      <c r="AU30" s="1761">
        <v>71.388888888888886</v>
      </c>
      <c r="AV30" s="1761">
        <v>67.777777777777771</v>
      </c>
      <c r="AW30" s="1761">
        <v>75.833333333333329</v>
      </c>
      <c r="AX30" s="1761">
        <v>84.722222222222214</v>
      </c>
      <c r="AY30" s="1761">
        <v>77.777777777777771</v>
      </c>
      <c r="AZ30" s="1761">
        <v>64.722222222222214</v>
      </c>
      <c r="BA30" s="1761">
        <v>39.722222222222221</v>
      </c>
      <c r="BB30" s="1761">
        <v>32.777777777777779</v>
      </c>
      <c r="BC30" s="1761">
        <v>769.44444444444446</v>
      </c>
      <c r="BD30" s="1761">
        <v>17.222222222222221</v>
      </c>
      <c r="BE30" s="1761">
        <v>28.888888888888889</v>
      </c>
      <c r="BF30" s="1761">
        <v>48.333333333333329</v>
      </c>
      <c r="BG30" s="1761">
        <v>55.555555555555557</v>
      </c>
      <c r="BH30" s="1761">
        <v>67.777777777777771</v>
      </c>
      <c r="BI30" s="1761">
        <v>71.388888888888886</v>
      </c>
      <c r="BJ30" s="1761">
        <v>76.666666666666671</v>
      </c>
      <c r="BK30" s="1761">
        <v>70.555555555555557</v>
      </c>
      <c r="BL30" s="1761">
        <v>51.111111111111107</v>
      </c>
      <c r="BM30" s="1761">
        <v>33.611111111111107</v>
      </c>
      <c r="BN30" s="1761">
        <v>17.222222222222221</v>
      </c>
      <c r="BO30" s="1761">
        <v>12.777777777777777</v>
      </c>
      <c r="BP30" s="1761">
        <v>550.55555555555554</v>
      </c>
      <c r="BQ30" s="1761">
        <v>11.944444444444445</v>
      </c>
      <c r="BR30" s="1761">
        <v>16.666666666666668</v>
      </c>
      <c r="BS30" s="1761">
        <v>26.111111111111111</v>
      </c>
      <c r="BT30" s="1761">
        <v>31.666666666666664</v>
      </c>
      <c r="BU30" s="1761">
        <v>42.5</v>
      </c>
      <c r="BV30" s="1761">
        <v>47.5</v>
      </c>
      <c r="BW30" s="1761">
        <v>47.5</v>
      </c>
      <c r="BX30" s="1761">
        <v>38.055555555555557</v>
      </c>
      <c r="BY30" s="1761">
        <v>26.666666666666664</v>
      </c>
      <c r="BZ30" s="1761">
        <v>17.777777777777779</v>
      </c>
      <c r="CA30" s="1761">
        <v>10.833333333333334</v>
      </c>
      <c r="CB30" s="1761">
        <v>8.8888888888888893</v>
      </c>
      <c r="CC30" s="1761">
        <v>326.11111111111109</v>
      </c>
    </row>
    <row r="31" spans="1:81">
      <c r="A31" s="1760" t="s">
        <v>4375</v>
      </c>
      <c r="B31" s="1760" t="s">
        <v>4374</v>
      </c>
      <c r="C31" s="1760">
        <v>197</v>
      </c>
      <c r="D31" s="1760">
        <v>1.2</v>
      </c>
      <c r="E31" s="1760">
        <v>3.5</v>
      </c>
      <c r="F31" s="1760">
        <v>8.1999999999999993</v>
      </c>
      <c r="G31" s="1760">
        <v>11.4</v>
      </c>
      <c r="H31" s="1760">
        <v>16</v>
      </c>
      <c r="I31" s="1760">
        <v>19.399999999999999</v>
      </c>
      <c r="J31" s="1760">
        <v>21.8</v>
      </c>
      <c r="K31" s="1760">
        <v>21.3</v>
      </c>
      <c r="L31" s="1760">
        <v>16.8</v>
      </c>
      <c r="M31" s="1760">
        <v>11.9</v>
      </c>
      <c r="N31" s="1760">
        <v>6.1</v>
      </c>
      <c r="O31" s="1760">
        <v>2.2999999999999998</v>
      </c>
      <c r="P31" s="1760">
        <v>11.7</v>
      </c>
      <c r="Q31" s="1761">
        <v>41.666666666666664</v>
      </c>
      <c r="R31" s="1761">
        <v>59.722222222222221</v>
      </c>
      <c r="S31" s="1761">
        <v>102.77777777777777</v>
      </c>
      <c r="T31" s="1761">
        <v>116.66666666666666</v>
      </c>
      <c r="U31" s="1761">
        <v>140.55555555555554</v>
      </c>
      <c r="V31" s="1761">
        <v>164.16666666666666</v>
      </c>
      <c r="W31" s="1761">
        <v>174.72222222222223</v>
      </c>
      <c r="X31" s="1761">
        <v>153.88888888888889</v>
      </c>
      <c r="Y31" s="1761">
        <v>105</v>
      </c>
      <c r="Z31" s="1761">
        <v>66.944444444444443</v>
      </c>
      <c r="AA31" s="1761">
        <v>41.111111111111107</v>
      </c>
      <c r="AB31" s="1761">
        <v>32.777777777777779</v>
      </c>
      <c r="AC31" s="1761">
        <v>1200.2777777777778</v>
      </c>
      <c r="AD31" s="1761">
        <v>27.5</v>
      </c>
      <c r="AE31" s="1761">
        <v>37.5</v>
      </c>
      <c r="AF31" s="1761">
        <v>59.444444444444443</v>
      </c>
      <c r="AG31" s="1761">
        <v>64.166666666666671</v>
      </c>
      <c r="AH31" s="1761">
        <v>73.611111111111114</v>
      </c>
      <c r="AI31" s="1761">
        <v>84.166666666666671</v>
      </c>
      <c r="AJ31" s="1761">
        <v>91.388888888888886</v>
      </c>
      <c r="AK31" s="1761">
        <v>84.166666666666671</v>
      </c>
      <c r="AL31" s="1761">
        <v>59.166666666666664</v>
      </c>
      <c r="AM31" s="1761">
        <v>38.611111111111107</v>
      </c>
      <c r="AN31" s="1761">
        <v>23.888888888888889</v>
      </c>
      <c r="AO31" s="1761">
        <v>20.833333333333332</v>
      </c>
      <c r="AP31" s="1761">
        <v>664.44444444444446</v>
      </c>
      <c r="AQ31" s="1761">
        <v>79.722222222222214</v>
      </c>
      <c r="AR31" s="1761">
        <v>85.277777777777771</v>
      </c>
      <c r="AS31" s="1761">
        <v>101.11111111111111</v>
      </c>
      <c r="AT31" s="1761">
        <v>77.777777777777771</v>
      </c>
      <c r="AU31" s="1761">
        <v>70</v>
      </c>
      <c r="AV31" s="1761">
        <v>72.777777777777771</v>
      </c>
      <c r="AW31" s="1761">
        <v>83.333333333333329</v>
      </c>
      <c r="AX31" s="1761">
        <v>94.444444444444443</v>
      </c>
      <c r="AY31" s="1761">
        <v>89.166666666666671</v>
      </c>
      <c r="AZ31" s="1761">
        <v>81.944444444444443</v>
      </c>
      <c r="BA31" s="1761">
        <v>66.111111111111114</v>
      </c>
      <c r="BB31" s="1761">
        <v>61.666666666666664</v>
      </c>
      <c r="BC31" s="1761">
        <v>963.61111111111109</v>
      </c>
      <c r="BD31" s="1761">
        <v>30.555555555555554</v>
      </c>
      <c r="BE31" s="1761">
        <v>39.722222222222221</v>
      </c>
      <c r="BF31" s="1761">
        <v>59.444444444444443</v>
      </c>
      <c r="BG31" s="1761">
        <v>63.333333333333329</v>
      </c>
      <c r="BH31" s="1761">
        <v>70.555555555555557</v>
      </c>
      <c r="BI31" s="1761">
        <v>81.388888888888886</v>
      </c>
      <c r="BJ31" s="1761">
        <v>89.166666666666671</v>
      </c>
      <c r="BK31" s="1761">
        <v>81.944444444444443</v>
      </c>
      <c r="BL31" s="1761">
        <v>61.111111111111107</v>
      </c>
      <c r="BM31" s="1761">
        <v>40.277777777777779</v>
      </c>
      <c r="BN31" s="1761">
        <v>26.666666666666664</v>
      </c>
      <c r="BO31" s="1761">
        <v>21.666666666666668</v>
      </c>
      <c r="BP31" s="1761">
        <v>665.83333333333337</v>
      </c>
      <c r="BQ31" s="1761">
        <v>13.333333333333332</v>
      </c>
      <c r="BR31" s="1761">
        <v>18.055555555555554</v>
      </c>
      <c r="BS31" s="1761">
        <v>25.277777777777779</v>
      </c>
      <c r="BT31" s="1761">
        <v>28.888888888888889</v>
      </c>
      <c r="BU31" s="1761">
        <v>38.055555555555557</v>
      </c>
      <c r="BV31" s="1761">
        <v>45.277777777777779</v>
      </c>
      <c r="BW31" s="1761">
        <v>46.111111111111107</v>
      </c>
      <c r="BX31" s="1761">
        <v>37.222222222222221</v>
      </c>
      <c r="BY31" s="1761">
        <v>25.277777777777779</v>
      </c>
      <c r="BZ31" s="1761">
        <v>17.222222222222221</v>
      </c>
      <c r="CA31" s="1761">
        <v>10.833333333333334</v>
      </c>
      <c r="CB31" s="1761">
        <v>9.7222222222222214</v>
      </c>
      <c r="CC31" s="1761">
        <v>315</v>
      </c>
    </row>
    <row r="32" spans="1:81">
      <c r="A32" s="1760" t="s">
        <v>4373</v>
      </c>
      <c r="B32" s="1760" t="s">
        <v>4372</v>
      </c>
      <c r="C32" s="1760">
        <v>1508</v>
      </c>
      <c r="D32" s="1760">
        <v>-1.7</v>
      </c>
      <c r="E32" s="1760">
        <v>-1.4</v>
      </c>
      <c r="F32" s="1760">
        <v>1.3</v>
      </c>
      <c r="G32" s="1760">
        <v>3.7</v>
      </c>
      <c r="H32" s="1760">
        <v>9</v>
      </c>
      <c r="I32" s="1760">
        <v>11.9</v>
      </c>
      <c r="J32" s="1760">
        <v>14.5</v>
      </c>
      <c r="K32" s="1760">
        <v>14.6</v>
      </c>
      <c r="L32" s="1760">
        <v>10.5</v>
      </c>
      <c r="M32" s="1760">
        <v>7.1</v>
      </c>
      <c r="N32" s="1760">
        <v>1.7</v>
      </c>
      <c r="O32" s="1760">
        <v>-0.4</v>
      </c>
      <c r="P32" s="1760">
        <v>5.9</v>
      </c>
      <c r="Q32" s="1761">
        <v>51.388888888888886</v>
      </c>
      <c r="R32" s="1761">
        <v>70</v>
      </c>
      <c r="S32" s="1761">
        <v>118.33333333333333</v>
      </c>
      <c r="T32" s="1761">
        <v>142.5</v>
      </c>
      <c r="U32" s="1761">
        <v>175.55555555555554</v>
      </c>
      <c r="V32" s="1761">
        <v>182.77777777777777</v>
      </c>
      <c r="W32" s="1761">
        <v>191.94444444444443</v>
      </c>
      <c r="X32" s="1761">
        <v>165.83333333333334</v>
      </c>
      <c r="Y32" s="1761">
        <v>123.88888888888889</v>
      </c>
      <c r="Z32" s="1761">
        <v>85.555555555555557</v>
      </c>
      <c r="AA32" s="1761">
        <v>50.277777777777779</v>
      </c>
      <c r="AB32" s="1761">
        <v>41.666666666666664</v>
      </c>
      <c r="AC32" s="1761">
        <v>1400</v>
      </c>
      <c r="AD32" s="1761">
        <v>47.5</v>
      </c>
      <c r="AE32" s="1761">
        <v>62.5</v>
      </c>
      <c r="AF32" s="1761">
        <v>98.333333333333329</v>
      </c>
      <c r="AG32" s="1761">
        <v>90.833333333333329</v>
      </c>
      <c r="AH32" s="1761">
        <v>101.11111111111111</v>
      </c>
      <c r="AI32" s="1761">
        <v>103.05555555555556</v>
      </c>
      <c r="AJ32" s="1761">
        <v>110.83333333333333</v>
      </c>
      <c r="AK32" s="1761">
        <v>100.55555555555556</v>
      </c>
      <c r="AL32" s="1761">
        <v>75.555555555555557</v>
      </c>
      <c r="AM32" s="1761">
        <v>55.833333333333329</v>
      </c>
      <c r="AN32" s="1761">
        <v>35.277777777777779</v>
      </c>
      <c r="AO32" s="1761">
        <v>35.833333333333336</v>
      </c>
      <c r="AP32" s="1761">
        <v>916.94444444444446</v>
      </c>
      <c r="AQ32" s="1761">
        <v>119.72222222222221</v>
      </c>
      <c r="AR32" s="1761">
        <v>124.44444444444444</v>
      </c>
      <c r="AS32" s="1761">
        <v>146.66666666666666</v>
      </c>
      <c r="AT32" s="1761">
        <v>103.61111111111111</v>
      </c>
      <c r="AU32" s="1761">
        <v>90</v>
      </c>
      <c r="AV32" s="1761">
        <v>81.388888888888886</v>
      </c>
      <c r="AW32" s="1761">
        <v>91.388888888888886</v>
      </c>
      <c r="AX32" s="1761">
        <v>103.33333333333333</v>
      </c>
      <c r="AY32" s="1761">
        <v>112.22222222222221</v>
      </c>
      <c r="AZ32" s="1761">
        <v>115.27777777777777</v>
      </c>
      <c r="BA32" s="1761">
        <v>94.444444444444443</v>
      </c>
      <c r="BB32" s="1761">
        <v>101.11111111111111</v>
      </c>
      <c r="BC32" s="1761">
        <v>1283.8888888888889</v>
      </c>
      <c r="BD32" s="1761">
        <v>47.5</v>
      </c>
      <c r="BE32" s="1761">
        <v>62.5</v>
      </c>
      <c r="BF32" s="1761">
        <v>91.388888888888886</v>
      </c>
      <c r="BG32" s="1761">
        <v>80.555555555555557</v>
      </c>
      <c r="BH32" s="1761">
        <v>84.722222222222214</v>
      </c>
      <c r="BI32" s="1761">
        <v>83.611111111111114</v>
      </c>
      <c r="BJ32" s="1761">
        <v>89.166666666666671</v>
      </c>
      <c r="BK32" s="1761">
        <v>82.5</v>
      </c>
      <c r="BL32" s="1761">
        <v>69.166666666666671</v>
      </c>
      <c r="BM32" s="1761">
        <v>52.777777777777779</v>
      </c>
      <c r="BN32" s="1761">
        <v>34.444444444444443</v>
      </c>
      <c r="BO32" s="1761">
        <v>35.833333333333336</v>
      </c>
      <c r="BP32" s="1761">
        <v>814.72222222222217</v>
      </c>
      <c r="BQ32" s="1761">
        <v>25.277777777777779</v>
      </c>
      <c r="BR32" s="1761">
        <v>35</v>
      </c>
      <c r="BS32" s="1761">
        <v>51.388888888888886</v>
      </c>
      <c r="BT32" s="1761">
        <v>39.722222222222221</v>
      </c>
      <c r="BU32" s="1761">
        <v>43.055555555555557</v>
      </c>
      <c r="BV32" s="1761">
        <v>46.666666666666664</v>
      </c>
      <c r="BW32" s="1761">
        <v>46.944444444444443</v>
      </c>
      <c r="BX32" s="1761">
        <v>37.222222222222221</v>
      </c>
      <c r="BY32" s="1761">
        <v>26.666666666666664</v>
      </c>
      <c r="BZ32" s="1761">
        <v>19.444444444444443</v>
      </c>
      <c r="CA32" s="1761">
        <v>13.611111111111111</v>
      </c>
      <c r="CB32" s="1761">
        <v>17.222222222222221</v>
      </c>
      <c r="CC32" s="1761">
        <v>401.94444444444446</v>
      </c>
    </row>
    <row r="33" spans="1:81">
      <c r="A33" s="1760" t="s">
        <v>4371</v>
      </c>
      <c r="B33" s="1760" t="s">
        <v>4370</v>
      </c>
      <c r="C33" s="1760">
        <v>485</v>
      </c>
      <c r="D33" s="1760">
        <v>1.4</v>
      </c>
      <c r="E33" s="1760">
        <v>2.5</v>
      </c>
      <c r="F33" s="1760">
        <v>6.2</v>
      </c>
      <c r="G33" s="1760">
        <v>9.1999999999999993</v>
      </c>
      <c r="H33" s="1760">
        <v>14.1</v>
      </c>
      <c r="I33" s="1760">
        <v>17.100000000000001</v>
      </c>
      <c r="J33" s="1760">
        <v>19.7</v>
      </c>
      <c r="K33" s="1760">
        <v>19.7</v>
      </c>
      <c r="L33" s="1760">
        <v>15.1</v>
      </c>
      <c r="M33" s="1760">
        <v>10.8</v>
      </c>
      <c r="N33" s="1760">
        <v>5.2</v>
      </c>
      <c r="O33" s="1760">
        <v>2.7</v>
      </c>
      <c r="P33" s="1760">
        <v>10.3</v>
      </c>
      <c r="Q33" s="1761">
        <v>25.277777777777779</v>
      </c>
      <c r="R33" s="1761">
        <v>44.444444444444443</v>
      </c>
      <c r="S33" s="1761">
        <v>88.611111111111114</v>
      </c>
      <c r="T33" s="1761">
        <v>116.66666666666666</v>
      </c>
      <c r="U33" s="1761">
        <v>151.11111111111111</v>
      </c>
      <c r="V33" s="1761">
        <v>161.94444444444443</v>
      </c>
      <c r="W33" s="1761">
        <v>170.27777777777777</v>
      </c>
      <c r="X33" s="1761">
        <v>148.05555555555554</v>
      </c>
      <c r="Y33" s="1761">
        <v>101.38888888888889</v>
      </c>
      <c r="Z33" s="1761">
        <v>58.888888888888886</v>
      </c>
      <c r="AA33" s="1761">
        <v>28.888888888888889</v>
      </c>
      <c r="AB33" s="1761">
        <v>20.833333333333332</v>
      </c>
      <c r="AC33" s="1761">
        <v>1116.1111111111111</v>
      </c>
      <c r="AD33" s="1761">
        <v>15.555555555555555</v>
      </c>
      <c r="AE33" s="1761">
        <v>28.333333333333332</v>
      </c>
      <c r="AF33" s="1761">
        <v>53.611111111111107</v>
      </c>
      <c r="AG33" s="1761">
        <v>67.777777777777771</v>
      </c>
      <c r="AH33" s="1761">
        <v>83.333333333333329</v>
      </c>
      <c r="AI33" s="1761">
        <v>90</v>
      </c>
      <c r="AJ33" s="1761">
        <v>96.111111111111114</v>
      </c>
      <c r="AK33" s="1761">
        <v>86.388888888888886</v>
      </c>
      <c r="AL33" s="1761">
        <v>57.5</v>
      </c>
      <c r="AM33" s="1761">
        <v>31.944444444444443</v>
      </c>
      <c r="AN33" s="1761">
        <v>16.666666666666668</v>
      </c>
      <c r="AO33" s="1761">
        <v>12.777777777777777</v>
      </c>
      <c r="AP33" s="1761">
        <v>639.44444444444446</v>
      </c>
      <c r="AQ33" s="1761">
        <v>36.388888888888886</v>
      </c>
      <c r="AR33" s="1761">
        <v>59.166666666666664</v>
      </c>
      <c r="AS33" s="1761">
        <v>87.777777777777771</v>
      </c>
      <c r="AT33" s="1761">
        <v>81.388888888888886</v>
      </c>
      <c r="AU33" s="1761">
        <v>81.111111111111114</v>
      </c>
      <c r="AV33" s="1761">
        <v>76.388888888888886</v>
      </c>
      <c r="AW33" s="1761">
        <v>85.555555555555557</v>
      </c>
      <c r="AX33" s="1761">
        <v>95.277777777777771</v>
      </c>
      <c r="AY33" s="1761">
        <v>88.611111111111114</v>
      </c>
      <c r="AZ33" s="1761">
        <v>68.333333333333329</v>
      </c>
      <c r="BA33" s="1761">
        <v>40.277777777777779</v>
      </c>
      <c r="BB33" s="1761">
        <v>32.777777777777779</v>
      </c>
      <c r="BC33" s="1761">
        <v>833.05555555555554</v>
      </c>
      <c r="BD33" s="1761">
        <v>16.388888888888889</v>
      </c>
      <c r="BE33" s="1761">
        <v>28.888888888888889</v>
      </c>
      <c r="BF33" s="1761">
        <v>50.555555555555557</v>
      </c>
      <c r="BG33" s="1761">
        <v>59.166666666666664</v>
      </c>
      <c r="BH33" s="1761">
        <v>73.611111111111114</v>
      </c>
      <c r="BI33" s="1761">
        <v>76.944444444444443</v>
      </c>
      <c r="BJ33" s="1761">
        <v>84.722222222222214</v>
      </c>
      <c r="BK33" s="1761">
        <v>75.833333333333329</v>
      </c>
      <c r="BL33" s="1761">
        <v>56.111111111111107</v>
      </c>
      <c r="BM33" s="1761">
        <v>36.388888888888886</v>
      </c>
      <c r="BN33" s="1761">
        <v>17.222222222222221</v>
      </c>
      <c r="BO33" s="1761">
        <v>13.333333333333332</v>
      </c>
      <c r="BP33" s="1761">
        <v>589.72222222222217</v>
      </c>
      <c r="BQ33" s="1761">
        <v>9.7222222222222214</v>
      </c>
      <c r="BR33" s="1761">
        <v>14.722222222222221</v>
      </c>
      <c r="BS33" s="1761">
        <v>24.444444444444443</v>
      </c>
      <c r="BT33" s="1761">
        <v>30.833333333333332</v>
      </c>
      <c r="BU33" s="1761">
        <v>41.666666666666664</v>
      </c>
      <c r="BV33" s="1761">
        <v>46.666666666666664</v>
      </c>
      <c r="BW33" s="1761">
        <v>46.944444444444443</v>
      </c>
      <c r="BX33" s="1761">
        <v>38.055555555555557</v>
      </c>
      <c r="BY33" s="1761">
        <v>25.833333333333332</v>
      </c>
      <c r="BZ33" s="1761">
        <v>17.222222222222221</v>
      </c>
      <c r="CA33" s="1761">
        <v>9.4444444444444446</v>
      </c>
      <c r="CB33" s="1761">
        <v>7.5</v>
      </c>
      <c r="CC33" s="1761">
        <v>313.05555555555554</v>
      </c>
    </row>
    <row r="34" spans="1:81">
      <c r="A34" s="1760" t="s">
        <v>4369</v>
      </c>
      <c r="B34" s="1760" t="s">
        <v>4368</v>
      </c>
      <c r="C34" s="1760">
        <v>490</v>
      </c>
      <c r="D34" s="1760">
        <v>0.3</v>
      </c>
      <c r="E34" s="1760">
        <v>1.6</v>
      </c>
      <c r="F34" s="1760">
        <v>5.5</v>
      </c>
      <c r="G34" s="1760">
        <v>8.3000000000000007</v>
      </c>
      <c r="H34" s="1760">
        <v>13.4</v>
      </c>
      <c r="I34" s="1760">
        <v>16.399999999999999</v>
      </c>
      <c r="J34" s="1760">
        <v>18.7</v>
      </c>
      <c r="K34" s="1760">
        <v>18.600000000000001</v>
      </c>
      <c r="L34" s="1760">
        <v>14.1</v>
      </c>
      <c r="M34" s="1760">
        <v>9.9</v>
      </c>
      <c r="N34" s="1760">
        <v>4.2</v>
      </c>
      <c r="O34" s="1760">
        <v>1.7</v>
      </c>
      <c r="P34" s="1760">
        <v>9.4</v>
      </c>
      <c r="Q34" s="1761">
        <v>29.722222222222221</v>
      </c>
      <c r="R34" s="1761">
        <v>48.333333333333329</v>
      </c>
      <c r="S34" s="1761">
        <v>94.444444444444443</v>
      </c>
      <c r="T34" s="1761">
        <v>120.83333333333333</v>
      </c>
      <c r="U34" s="1761">
        <v>156.11111111111111</v>
      </c>
      <c r="V34" s="1761">
        <v>170.55555555555554</v>
      </c>
      <c r="W34" s="1761">
        <v>177.77777777777777</v>
      </c>
      <c r="X34" s="1761">
        <v>153.33333333333334</v>
      </c>
      <c r="Y34" s="1761">
        <v>104.44444444444444</v>
      </c>
      <c r="Z34" s="1761">
        <v>61.666666666666664</v>
      </c>
      <c r="AA34" s="1761">
        <v>31.666666666666664</v>
      </c>
      <c r="AB34" s="1761">
        <v>23.888888888888889</v>
      </c>
      <c r="AC34" s="1761">
        <v>1173.0555555555554</v>
      </c>
      <c r="AD34" s="1761">
        <v>19.444444444444443</v>
      </c>
      <c r="AE34" s="1761">
        <v>30.277777777777779</v>
      </c>
      <c r="AF34" s="1761">
        <v>55.833333333333329</v>
      </c>
      <c r="AG34" s="1761">
        <v>69.722222222222214</v>
      </c>
      <c r="AH34" s="1761">
        <v>85.555555555555557</v>
      </c>
      <c r="AI34" s="1761">
        <v>95</v>
      </c>
      <c r="AJ34" s="1761">
        <v>99.722222222222214</v>
      </c>
      <c r="AK34" s="1761">
        <v>89.166666666666671</v>
      </c>
      <c r="AL34" s="1761">
        <v>59.166666666666664</v>
      </c>
      <c r="AM34" s="1761">
        <v>34.166666666666664</v>
      </c>
      <c r="AN34" s="1761">
        <v>18.611111111111111</v>
      </c>
      <c r="AO34" s="1761">
        <v>15</v>
      </c>
      <c r="AP34" s="1761">
        <v>671.66666666666663</v>
      </c>
      <c r="AQ34" s="1761">
        <v>46.111111111111107</v>
      </c>
      <c r="AR34" s="1761">
        <v>63.888888888888886</v>
      </c>
      <c r="AS34" s="1761">
        <v>94.444444444444443</v>
      </c>
      <c r="AT34" s="1761">
        <v>82.777777777777771</v>
      </c>
      <c r="AU34" s="1761">
        <v>82.5</v>
      </c>
      <c r="AV34" s="1761">
        <v>78.611111111111114</v>
      </c>
      <c r="AW34" s="1761">
        <v>86.944444444444443</v>
      </c>
      <c r="AX34" s="1761">
        <v>97.5</v>
      </c>
      <c r="AY34" s="1761">
        <v>91.388888888888886</v>
      </c>
      <c r="AZ34" s="1761">
        <v>71.388888888888886</v>
      </c>
      <c r="BA34" s="1761">
        <v>44.722222222222221</v>
      </c>
      <c r="BB34" s="1761">
        <v>38.055555555555557</v>
      </c>
      <c r="BC34" s="1761">
        <v>878.33333333333326</v>
      </c>
      <c r="BD34" s="1761">
        <v>20.833333333333332</v>
      </c>
      <c r="BE34" s="1761">
        <v>33.055555555555557</v>
      </c>
      <c r="BF34" s="1761">
        <v>59.444444444444443</v>
      </c>
      <c r="BG34" s="1761">
        <v>67.777777777777771</v>
      </c>
      <c r="BH34" s="1761">
        <v>84.166666666666671</v>
      </c>
      <c r="BI34" s="1761">
        <v>89.166666666666671</v>
      </c>
      <c r="BJ34" s="1761">
        <v>96.111111111111114</v>
      </c>
      <c r="BK34" s="1761">
        <v>85.555555555555557</v>
      </c>
      <c r="BL34" s="1761">
        <v>64.166666666666671</v>
      </c>
      <c r="BM34" s="1761">
        <v>40.277777777777779</v>
      </c>
      <c r="BN34" s="1761">
        <v>20.277777777777779</v>
      </c>
      <c r="BO34" s="1761">
        <v>15.555555555555555</v>
      </c>
      <c r="BP34" s="1761">
        <v>675.83333333333337</v>
      </c>
      <c r="BQ34" s="1761">
        <v>12.777777777777777</v>
      </c>
      <c r="BR34" s="1761">
        <v>17.5</v>
      </c>
      <c r="BS34" s="1761">
        <v>26.666666666666664</v>
      </c>
      <c r="BT34" s="1761">
        <v>33.888888888888886</v>
      </c>
      <c r="BU34" s="1761">
        <v>45.277777777777779</v>
      </c>
      <c r="BV34" s="1761">
        <v>51.944444444444443</v>
      </c>
      <c r="BW34" s="1761">
        <v>50.555555555555557</v>
      </c>
      <c r="BX34" s="1761">
        <v>40.833333333333336</v>
      </c>
      <c r="BY34" s="1761">
        <v>28.055555555555554</v>
      </c>
      <c r="BZ34" s="1761">
        <v>19.444444444444443</v>
      </c>
      <c r="CA34" s="1761">
        <v>11.388888888888889</v>
      </c>
      <c r="CB34" s="1761">
        <v>9.7222222222222214</v>
      </c>
      <c r="CC34" s="1761">
        <v>348.05555555555554</v>
      </c>
    </row>
    <row r="35" spans="1:81">
      <c r="A35" s="1760" t="s">
        <v>4367</v>
      </c>
      <c r="B35" s="1760" t="s">
        <v>4366</v>
      </c>
      <c r="C35" s="1760">
        <v>1007</v>
      </c>
      <c r="D35" s="1760">
        <v>-1.3</v>
      </c>
      <c r="E35" s="1760">
        <v>0.1</v>
      </c>
      <c r="F35" s="1760">
        <v>3.9</v>
      </c>
      <c r="G35" s="1760">
        <v>6.6</v>
      </c>
      <c r="H35" s="1760">
        <v>11.4</v>
      </c>
      <c r="I35" s="1760">
        <v>14.7</v>
      </c>
      <c r="J35" s="1760">
        <v>17.2</v>
      </c>
      <c r="K35" s="1760">
        <v>16.8</v>
      </c>
      <c r="L35" s="1760">
        <v>12.6</v>
      </c>
      <c r="M35" s="1760">
        <v>8.3000000000000007</v>
      </c>
      <c r="N35" s="1760">
        <v>2.9</v>
      </c>
      <c r="O35" s="1760">
        <v>0</v>
      </c>
      <c r="P35" s="1760">
        <v>7.8</v>
      </c>
      <c r="Q35" s="1761">
        <v>24.444444444444443</v>
      </c>
      <c r="R35" s="1761">
        <v>55</v>
      </c>
      <c r="S35" s="1761">
        <v>104.16666666666666</v>
      </c>
      <c r="T35" s="1761">
        <v>120.83333333333333</v>
      </c>
      <c r="U35" s="1761">
        <v>136.11111111111111</v>
      </c>
      <c r="V35" s="1761">
        <v>155.55555555555554</v>
      </c>
      <c r="W35" s="1761">
        <v>165.27777777777777</v>
      </c>
      <c r="X35" s="1761">
        <v>143.61111111111111</v>
      </c>
      <c r="Y35" s="1761">
        <v>100.83333333333333</v>
      </c>
      <c r="Z35" s="1761">
        <v>63.333333333333329</v>
      </c>
      <c r="AA35" s="1761">
        <v>29.444444444444443</v>
      </c>
      <c r="AB35" s="1761">
        <v>17.222222222222221</v>
      </c>
      <c r="AC35" s="1761">
        <v>1115.8333333333333</v>
      </c>
      <c r="AD35" s="1761">
        <v>17.222222222222221</v>
      </c>
      <c r="AE35" s="1761">
        <v>53.888888888888886</v>
      </c>
      <c r="AF35" s="1761">
        <v>74.444444444444443</v>
      </c>
      <c r="AG35" s="1761">
        <v>65.555555555555557</v>
      </c>
      <c r="AH35" s="1761">
        <v>66.944444444444443</v>
      </c>
      <c r="AI35" s="1761">
        <v>76.388888888888886</v>
      </c>
      <c r="AJ35" s="1761">
        <v>82.5</v>
      </c>
      <c r="AK35" s="1761">
        <v>75.833333333333329</v>
      </c>
      <c r="AL35" s="1761">
        <v>56.111111111111107</v>
      </c>
      <c r="AM35" s="1761">
        <v>39.444444444444443</v>
      </c>
      <c r="AN35" s="1761">
        <v>19.444444444444443</v>
      </c>
      <c r="AO35" s="1761">
        <v>9.7222222222222214</v>
      </c>
      <c r="AP35" s="1761">
        <v>637.22222222222217</v>
      </c>
      <c r="AQ35" s="1761">
        <v>27.5</v>
      </c>
      <c r="AR35" s="1761">
        <v>87.222222222222214</v>
      </c>
      <c r="AS35" s="1761">
        <v>116.11111111111111</v>
      </c>
      <c r="AT35" s="1761">
        <v>81.944444444444443</v>
      </c>
      <c r="AU35" s="1761">
        <v>64.722222222222214</v>
      </c>
      <c r="AV35" s="1761">
        <v>66.111111111111114</v>
      </c>
      <c r="AW35" s="1761">
        <v>75.833333333333329</v>
      </c>
      <c r="AX35" s="1761">
        <v>85.555555555555557</v>
      </c>
      <c r="AY35" s="1761">
        <v>83.611111111111114</v>
      </c>
      <c r="AZ35" s="1761">
        <v>71.388888888888886</v>
      </c>
      <c r="BA35" s="1761">
        <v>33.055555555555557</v>
      </c>
      <c r="BB35" s="1761">
        <v>11.111111111111111</v>
      </c>
      <c r="BC35" s="1761">
        <v>804.72222222222217</v>
      </c>
      <c r="BD35" s="1761">
        <v>15</v>
      </c>
      <c r="BE35" s="1761">
        <v>36.388888888888886</v>
      </c>
      <c r="BF35" s="1761">
        <v>63.888888888888886</v>
      </c>
      <c r="BG35" s="1761">
        <v>61.111111111111107</v>
      </c>
      <c r="BH35" s="1761">
        <v>60.277777777777779</v>
      </c>
      <c r="BI35" s="1761">
        <v>66.944444444444443</v>
      </c>
      <c r="BJ35" s="1761">
        <v>70.555555555555557</v>
      </c>
      <c r="BK35" s="1761">
        <v>64.722222222222214</v>
      </c>
      <c r="BL35" s="1761">
        <v>47.5</v>
      </c>
      <c r="BM35" s="1761">
        <v>25.277777777777779</v>
      </c>
      <c r="BN35" s="1761">
        <v>11.388888888888889</v>
      </c>
      <c r="BO35" s="1761">
        <v>8.8888888888888893</v>
      </c>
      <c r="BP35" s="1761">
        <v>532.22222222222217</v>
      </c>
      <c r="BQ35" s="1761">
        <v>13.333333333333332</v>
      </c>
      <c r="BR35" s="1761">
        <v>30.277777777777779</v>
      </c>
      <c r="BS35" s="1761">
        <v>38.611111111111107</v>
      </c>
      <c r="BT35" s="1761">
        <v>29.444444444444443</v>
      </c>
      <c r="BU35" s="1761">
        <v>30.555555555555554</v>
      </c>
      <c r="BV35" s="1761">
        <v>35.277777777777779</v>
      </c>
      <c r="BW35" s="1761">
        <v>36.388888888888886</v>
      </c>
      <c r="BX35" s="1761">
        <v>30.555555555555554</v>
      </c>
      <c r="BY35" s="1761">
        <v>20.833333333333332</v>
      </c>
      <c r="BZ35" s="1761">
        <v>14.166666666666666</v>
      </c>
      <c r="CA35" s="1761">
        <v>9.4444444444444446</v>
      </c>
      <c r="CB35" s="1761">
        <v>8.0555555555555554</v>
      </c>
      <c r="CC35" s="1761">
        <v>297.22222222222223</v>
      </c>
    </row>
    <row r="36" spans="1:81">
      <c r="A36" s="1760" t="s">
        <v>4365</v>
      </c>
      <c r="B36" s="1760" t="s">
        <v>4364</v>
      </c>
      <c r="C36" s="1760">
        <v>461</v>
      </c>
      <c r="D36" s="1760">
        <v>2.2999999999999998</v>
      </c>
      <c r="E36" s="1760">
        <v>3.3</v>
      </c>
      <c r="F36" s="1760">
        <v>6.8</v>
      </c>
      <c r="G36" s="1760">
        <v>9.5</v>
      </c>
      <c r="H36" s="1760">
        <v>14.5</v>
      </c>
      <c r="I36" s="1760">
        <v>17.5</v>
      </c>
      <c r="J36" s="1760">
        <v>20.100000000000001</v>
      </c>
      <c r="K36" s="1760">
        <v>20.100000000000001</v>
      </c>
      <c r="L36" s="1760">
        <v>15.7</v>
      </c>
      <c r="M36" s="1760">
        <v>11.6</v>
      </c>
      <c r="N36" s="1760">
        <v>6.2</v>
      </c>
      <c r="O36" s="1760">
        <v>3.6</v>
      </c>
      <c r="P36" s="1760">
        <v>10.9</v>
      </c>
      <c r="Q36" s="1761">
        <v>32.777777777777779</v>
      </c>
      <c r="R36" s="1761">
        <v>51.666666666666664</v>
      </c>
      <c r="S36" s="1761">
        <v>98.888888888888886</v>
      </c>
      <c r="T36" s="1761">
        <v>127.5</v>
      </c>
      <c r="U36" s="1761">
        <v>164.44444444444443</v>
      </c>
      <c r="V36" s="1761">
        <v>177.22222222222223</v>
      </c>
      <c r="W36" s="1761">
        <v>185.27777777777777</v>
      </c>
      <c r="X36" s="1761">
        <v>158.33333333333334</v>
      </c>
      <c r="Y36" s="1761">
        <v>110.83333333333333</v>
      </c>
      <c r="Z36" s="1761">
        <v>70</v>
      </c>
      <c r="AA36" s="1761">
        <v>36.666666666666664</v>
      </c>
      <c r="AB36" s="1761">
        <v>27.5</v>
      </c>
      <c r="AC36" s="1761">
        <v>1241.1111111111111</v>
      </c>
      <c r="AD36" s="1761">
        <v>20</v>
      </c>
      <c r="AE36" s="1761">
        <v>30.277777777777779</v>
      </c>
      <c r="AF36" s="1761">
        <v>58.055555555555557</v>
      </c>
      <c r="AG36" s="1761">
        <v>70.555555555555557</v>
      </c>
      <c r="AH36" s="1761">
        <v>86.944444444444443</v>
      </c>
      <c r="AI36" s="1761">
        <v>93.611111111111114</v>
      </c>
      <c r="AJ36" s="1761">
        <v>98.888888888888886</v>
      </c>
      <c r="AK36" s="1761">
        <v>85.555555555555557</v>
      </c>
      <c r="AL36" s="1761">
        <v>61.111111111111107</v>
      </c>
      <c r="AM36" s="1761">
        <v>38.611111111111107</v>
      </c>
      <c r="AN36" s="1761">
        <v>21.666666666666668</v>
      </c>
      <c r="AO36" s="1761">
        <v>16.388888888888889</v>
      </c>
      <c r="AP36" s="1761">
        <v>681.94444444444446</v>
      </c>
      <c r="AQ36" s="1761">
        <v>55</v>
      </c>
      <c r="AR36" s="1761">
        <v>71.944444444444443</v>
      </c>
      <c r="AS36" s="1761">
        <v>101.11111111111111</v>
      </c>
      <c r="AT36" s="1761">
        <v>88.611111111111114</v>
      </c>
      <c r="AU36" s="1761">
        <v>86.388888888888886</v>
      </c>
      <c r="AV36" s="1761">
        <v>80.555555555555557</v>
      </c>
      <c r="AW36" s="1761">
        <v>90</v>
      </c>
      <c r="AX36" s="1761">
        <v>100.55555555555556</v>
      </c>
      <c r="AY36" s="1761">
        <v>98.611111111111114</v>
      </c>
      <c r="AZ36" s="1761">
        <v>85.555555555555557</v>
      </c>
      <c r="BA36" s="1761">
        <v>58.333333333333329</v>
      </c>
      <c r="BB36" s="1761">
        <v>48.333333333333329</v>
      </c>
      <c r="BC36" s="1761">
        <v>965</v>
      </c>
      <c r="BD36" s="1761">
        <v>22.222222222222221</v>
      </c>
      <c r="BE36" s="1761">
        <v>34.166666666666664</v>
      </c>
      <c r="BF36" s="1761">
        <v>60.277777777777779</v>
      </c>
      <c r="BG36" s="1761">
        <v>69.722222222222214</v>
      </c>
      <c r="BH36" s="1761">
        <v>86.944444444444443</v>
      </c>
      <c r="BI36" s="1761">
        <v>91.388888888888886</v>
      </c>
      <c r="BJ36" s="1761">
        <v>98.888888888888886</v>
      </c>
      <c r="BK36" s="1761">
        <v>88.611111111111114</v>
      </c>
      <c r="BL36" s="1761">
        <v>66.944444444444443</v>
      </c>
      <c r="BM36" s="1761">
        <v>44.722222222222221</v>
      </c>
      <c r="BN36" s="1761">
        <v>24.444444444444443</v>
      </c>
      <c r="BO36" s="1761">
        <v>17.777777777777779</v>
      </c>
      <c r="BP36" s="1761">
        <v>706.66666666666663</v>
      </c>
      <c r="BQ36" s="1761">
        <v>11.111111111111111</v>
      </c>
      <c r="BR36" s="1761">
        <v>15.555555555555555</v>
      </c>
      <c r="BS36" s="1761">
        <v>25.277777777777779</v>
      </c>
      <c r="BT36" s="1761">
        <v>31.666666666666664</v>
      </c>
      <c r="BU36" s="1761">
        <v>43.888888888888886</v>
      </c>
      <c r="BV36" s="1761">
        <v>48.888888888888886</v>
      </c>
      <c r="BW36" s="1761">
        <v>48.333333333333329</v>
      </c>
      <c r="BX36" s="1761">
        <v>38.611111111111107</v>
      </c>
      <c r="BY36" s="1761">
        <v>26.666666666666664</v>
      </c>
      <c r="BZ36" s="1761">
        <v>18.611111111111111</v>
      </c>
      <c r="CA36" s="1761">
        <v>10.833333333333334</v>
      </c>
      <c r="CB36" s="1761">
        <v>8.8888888888888893</v>
      </c>
      <c r="CC36" s="1761">
        <v>328.33333333333331</v>
      </c>
    </row>
    <row r="37" spans="1:81">
      <c r="A37" s="1760" t="s">
        <v>4363</v>
      </c>
      <c r="B37" s="1760" t="s">
        <v>4362</v>
      </c>
      <c r="C37" s="1760">
        <v>1078</v>
      </c>
      <c r="D37" s="1760">
        <v>-2.1</v>
      </c>
      <c r="E37" s="1760">
        <v>-0.8</v>
      </c>
      <c r="F37" s="1760">
        <v>3.3</v>
      </c>
      <c r="G37" s="1760">
        <v>6.4</v>
      </c>
      <c r="H37" s="1760">
        <v>10.8</v>
      </c>
      <c r="I37" s="1760">
        <v>13.7</v>
      </c>
      <c r="J37" s="1760">
        <v>16</v>
      </c>
      <c r="K37" s="1760">
        <v>15.7</v>
      </c>
      <c r="L37" s="1760">
        <v>11.6</v>
      </c>
      <c r="M37" s="1760">
        <v>7.6</v>
      </c>
      <c r="N37" s="1760">
        <v>2.6</v>
      </c>
      <c r="O37" s="1760">
        <v>-0.5</v>
      </c>
      <c r="P37" s="1760">
        <v>7</v>
      </c>
      <c r="Q37" s="1761">
        <v>44.722222222222221</v>
      </c>
      <c r="R37" s="1761">
        <v>64.444444444444443</v>
      </c>
      <c r="S37" s="1761">
        <v>107.77777777777777</v>
      </c>
      <c r="T37" s="1761">
        <v>125.27777777777777</v>
      </c>
      <c r="U37" s="1761">
        <v>147.22222222222223</v>
      </c>
      <c r="V37" s="1761">
        <v>155.55555555555554</v>
      </c>
      <c r="W37" s="1761">
        <v>164.44444444444443</v>
      </c>
      <c r="X37" s="1761">
        <v>140.55555555555554</v>
      </c>
      <c r="Y37" s="1761">
        <v>100</v>
      </c>
      <c r="Z37" s="1761">
        <v>69.166666666666671</v>
      </c>
      <c r="AA37" s="1761">
        <v>43.888888888888886</v>
      </c>
      <c r="AB37" s="1761">
        <v>35.833333333333336</v>
      </c>
      <c r="AC37" s="1761">
        <v>1199.1666666666667</v>
      </c>
      <c r="AD37" s="1761">
        <v>28.888888888888889</v>
      </c>
      <c r="AE37" s="1761">
        <v>43.055555555555557</v>
      </c>
      <c r="AF37" s="1761">
        <v>54.444444444444443</v>
      </c>
      <c r="AG37" s="1761">
        <v>55.555555555555557</v>
      </c>
      <c r="AH37" s="1761">
        <v>65.555555555555557</v>
      </c>
      <c r="AI37" s="1761">
        <v>69.166666666666671</v>
      </c>
      <c r="AJ37" s="1761">
        <v>75.277777777777771</v>
      </c>
      <c r="AK37" s="1761">
        <v>62.5</v>
      </c>
      <c r="AL37" s="1761">
        <v>41.666666666666664</v>
      </c>
      <c r="AM37" s="1761">
        <v>29.722222222222221</v>
      </c>
      <c r="AN37" s="1761">
        <v>20.277777777777779</v>
      </c>
      <c r="AO37" s="1761">
        <v>18.611111111111111</v>
      </c>
      <c r="AP37" s="1761">
        <v>564.16666666666663</v>
      </c>
      <c r="AQ37" s="1761">
        <v>84.722222222222214</v>
      </c>
      <c r="AR37" s="1761">
        <v>100</v>
      </c>
      <c r="AS37" s="1761">
        <v>113.88888888888889</v>
      </c>
      <c r="AT37" s="1761">
        <v>86.388888888888886</v>
      </c>
      <c r="AU37" s="1761">
        <v>73.611111111111114</v>
      </c>
      <c r="AV37" s="1761">
        <v>69.166666666666671</v>
      </c>
      <c r="AW37" s="1761">
        <v>78.888888888888886</v>
      </c>
      <c r="AX37" s="1761">
        <v>86.388888888888886</v>
      </c>
      <c r="AY37" s="1761">
        <v>83.611111111111114</v>
      </c>
      <c r="AZ37" s="1761">
        <v>80.277777777777771</v>
      </c>
      <c r="BA37" s="1761">
        <v>68.333333333333329</v>
      </c>
      <c r="BB37" s="1761">
        <v>66.944444444444443</v>
      </c>
      <c r="BC37" s="1761">
        <v>992.22222222222217</v>
      </c>
      <c r="BD37" s="1761">
        <v>32.777777777777779</v>
      </c>
      <c r="BE37" s="1761">
        <v>45</v>
      </c>
      <c r="BF37" s="1761">
        <v>60.277777777777779</v>
      </c>
      <c r="BG37" s="1761">
        <v>54.722222222222221</v>
      </c>
      <c r="BH37" s="1761">
        <v>57.222222222222221</v>
      </c>
      <c r="BI37" s="1761">
        <v>59.722222222222221</v>
      </c>
      <c r="BJ37" s="1761">
        <v>63.888888888888886</v>
      </c>
      <c r="BK37" s="1761">
        <v>54.444444444444443</v>
      </c>
      <c r="BL37" s="1761">
        <v>42.5</v>
      </c>
      <c r="BM37" s="1761">
        <v>31.111111111111111</v>
      </c>
      <c r="BN37" s="1761">
        <v>21.666666666666668</v>
      </c>
      <c r="BO37" s="1761">
        <v>21.666666666666668</v>
      </c>
      <c r="BP37" s="1761">
        <v>545</v>
      </c>
      <c r="BQ37" s="1761">
        <v>20.833333333333332</v>
      </c>
      <c r="BR37" s="1761">
        <v>28.333333333333332</v>
      </c>
      <c r="BS37" s="1761">
        <v>31.944444444444443</v>
      </c>
      <c r="BT37" s="1761">
        <v>28.055555555555554</v>
      </c>
      <c r="BU37" s="1761">
        <v>32.777777777777779</v>
      </c>
      <c r="BV37" s="1761">
        <v>34.444444444444443</v>
      </c>
      <c r="BW37" s="1761">
        <v>35</v>
      </c>
      <c r="BX37" s="1761">
        <v>29.722222222222221</v>
      </c>
      <c r="BY37" s="1761">
        <v>21.666666666666668</v>
      </c>
      <c r="BZ37" s="1761">
        <v>15.555555555555555</v>
      </c>
      <c r="CA37" s="1761">
        <v>12.222222222222221</v>
      </c>
      <c r="CB37" s="1761">
        <v>13.333333333333332</v>
      </c>
      <c r="CC37" s="1761">
        <v>303.88888888888886</v>
      </c>
    </row>
    <row r="38" spans="1:81">
      <c r="A38" s="1760" t="s">
        <v>4361</v>
      </c>
      <c r="B38" s="1760" t="s">
        <v>4360</v>
      </c>
      <c r="C38" s="1760">
        <v>610</v>
      </c>
      <c r="D38" s="1760">
        <v>0.4</v>
      </c>
      <c r="E38" s="1760">
        <v>1.5</v>
      </c>
      <c r="F38" s="1760">
        <v>5.2</v>
      </c>
      <c r="G38" s="1760">
        <v>7.8</v>
      </c>
      <c r="H38" s="1760">
        <v>12.7</v>
      </c>
      <c r="I38" s="1760">
        <v>15.6</v>
      </c>
      <c r="J38" s="1760">
        <v>17.899999999999999</v>
      </c>
      <c r="K38" s="1760">
        <v>18.100000000000001</v>
      </c>
      <c r="L38" s="1760">
        <v>13.7</v>
      </c>
      <c r="M38" s="1760">
        <v>9.8000000000000007</v>
      </c>
      <c r="N38" s="1760">
        <v>4.2</v>
      </c>
      <c r="O38" s="1760">
        <v>1.8</v>
      </c>
      <c r="P38" s="1760">
        <v>9.1</v>
      </c>
      <c r="Q38" s="1761">
        <v>31.944444444444443</v>
      </c>
      <c r="R38" s="1761">
        <v>48.333333333333329</v>
      </c>
      <c r="S38" s="1761">
        <v>86.388888888888886</v>
      </c>
      <c r="T38" s="1761">
        <v>114.44444444444444</v>
      </c>
      <c r="U38" s="1761">
        <v>147.22222222222223</v>
      </c>
      <c r="V38" s="1761">
        <v>161.38888888888889</v>
      </c>
      <c r="W38" s="1761">
        <v>166.66666666666666</v>
      </c>
      <c r="X38" s="1761">
        <v>145.83333333333334</v>
      </c>
      <c r="Y38" s="1761">
        <v>99.444444444444443</v>
      </c>
      <c r="Z38" s="1761">
        <v>62.5</v>
      </c>
      <c r="AA38" s="1761">
        <v>33.055555555555557</v>
      </c>
      <c r="AB38" s="1761">
        <v>24.444444444444443</v>
      </c>
      <c r="AC38" s="1761">
        <v>1121.6666666666667</v>
      </c>
      <c r="AD38" s="1761">
        <v>21.666666666666668</v>
      </c>
      <c r="AE38" s="1761">
        <v>30.277777777777779</v>
      </c>
      <c r="AF38" s="1761">
        <v>52.777777777777779</v>
      </c>
      <c r="AG38" s="1761">
        <v>67.777777777777771</v>
      </c>
      <c r="AH38" s="1761">
        <v>84.166666666666671</v>
      </c>
      <c r="AI38" s="1761">
        <v>90</v>
      </c>
      <c r="AJ38" s="1761">
        <v>95.277777777777771</v>
      </c>
      <c r="AK38" s="1761">
        <v>86.944444444444443</v>
      </c>
      <c r="AL38" s="1761">
        <v>59.722222222222221</v>
      </c>
      <c r="AM38" s="1761">
        <v>38.055555555555557</v>
      </c>
      <c r="AN38" s="1761">
        <v>20.833333333333332</v>
      </c>
      <c r="AO38" s="1761">
        <v>16.388888888888889</v>
      </c>
      <c r="AP38" s="1761">
        <v>663.61111111111109</v>
      </c>
      <c r="AQ38" s="1761">
        <v>53.611111111111107</v>
      </c>
      <c r="AR38" s="1761">
        <v>65.277777777777771</v>
      </c>
      <c r="AS38" s="1761">
        <v>84.722222222222214</v>
      </c>
      <c r="AT38" s="1761">
        <v>78.611111111111114</v>
      </c>
      <c r="AU38" s="1761">
        <v>77.5</v>
      </c>
      <c r="AV38" s="1761">
        <v>75</v>
      </c>
      <c r="AW38" s="1761">
        <v>82.5</v>
      </c>
      <c r="AX38" s="1761">
        <v>92.222222222222214</v>
      </c>
      <c r="AY38" s="1761">
        <v>86.388888888888886</v>
      </c>
      <c r="AZ38" s="1761">
        <v>74.444444444444443</v>
      </c>
      <c r="BA38" s="1761">
        <v>48.888888888888886</v>
      </c>
      <c r="BB38" s="1761">
        <v>40.833333333333336</v>
      </c>
      <c r="BC38" s="1761">
        <v>859.72222222222217</v>
      </c>
      <c r="BD38" s="1761">
        <v>18.611111111111111</v>
      </c>
      <c r="BE38" s="1761">
        <v>28.888888888888889</v>
      </c>
      <c r="BF38" s="1761">
        <v>49.166666666666664</v>
      </c>
      <c r="BG38" s="1761">
        <v>63.333333333333329</v>
      </c>
      <c r="BH38" s="1761">
        <v>78.888888888888886</v>
      </c>
      <c r="BI38" s="1761">
        <v>85.555555555555557</v>
      </c>
      <c r="BJ38" s="1761">
        <v>90</v>
      </c>
      <c r="BK38" s="1761">
        <v>81.111111111111114</v>
      </c>
      <c r="BL38" s="1761">
        <v>56.944444444444443</v>
      </c>
      <c r="BM38" s="1761">
        <v>36.388888888888886</v>
      </c>
      <c r="BN38" s="1761">
        <v>18.611111111111111</v>
      </c>
      <c r="BO38" s="1761">
        <v>13.333333333333332</v>
      </c>
      <c r="BP38" s="1761">
        <v>621.11111111111109</v>
      </c>
      <c r="BQ38" s="1761">
        <v>10.277777777777777</v>
      </c>
      <c r="BR38" s="1761">
        <v>14.722222222222221</v>
      </c>
      <c r="BS38" s="1761">
        <v>24.444444444444443</v>
      </c>
      <c r="BT38" s="1761">
        <v>32.5</v>
      </c>
      <c r="BU38" s="1761">
        <v>43.888888888888886</v>
      </c>
      <c r="BV38" s="1761">
        <v>51.111111111111107</v>
      </c>
      <c r="BW38" s="1761">
        <v>50.555555555555557</v>
      </c>
      <c r="BX38" s="1761">
        <v>40.277777777777779</v>
      </c>
      <c r="BY38" s="1761">
        <v>27.222222222222221</v>
      </c>
      <c r="BZ38" s="1761">
        <v>18.611111111111111</v>
      </c>
      <c r="CA38" s="1761">
        <v>10.833333333333334</v>
      </c>
      <c r="CB38" s="1761">
        <v>8.8888888888888893</v>
      </c>
      <c r="CC38" s="1761">
        <v>333.61111111111109</v>
      </c>
    </row>
    <row r="39" spans="1:81">
      <c r="A39" s="1760" t="s">
        <v>4359</v>
      </c>
      <c r="B39" s="1760" t="s">
        <v>4358</v>
      </c>
      <c r="C39" s="1760">
        <v>1705</v>
      </c>
      <c r="D39" s="1760">
        <v>-9.3000000000000007</v>
      </c>
      <c r="E39" s="1760">
        <v>-7.6</v>
      </c>
      <c r="F39" s="1760">
        <v>-2.8</v>
      </c>
      <c r="G39" s="1760">
        <v>1.1000000000000001</v>
      </c>
      <c r="H39" s="1760">
        <v>6.6</v>
      </c>
      <c r="I39" s="1760">
        <v>9.5</v>
      </c>
      <c r="J39" s="1760">
        <v>11.9</v>
      </c>
      <c r="K39" s="1760">
        <v>11.6</v>
      </c>
      <c r="L39" s="1760">
        <v>7.5</v>
      </c>
      <c r="M39" s="1760">
        <v>3.5</v>
      </c>
      <c r="N39" s="1760">
        <v>-3.1</v>
      </c>
      <c r="O39" s="1760">
        <v>-7.4</v>
      </c>
      <c r="P39" s="1760">
        <v>1.8</v>
      </c>
      <c r="Q39" s="1761">
        <v>54.444444444444443</v>
      </c>
      <c r="R39" s="1761">
        <v>74.722222222222214</v>
      </c>
      <c r="S39" s="1761">
        <v>125</v>
      </c>
      <c r="T39" s="1761">
        <v>149.16666666666666</v>
      </c>
      <c r="U39" s="1761">
        <v>172.5</v>
      </c>
      <c r="V39" s="1761">
        <v>175</v>
      </c>
      <c r="W39" s="1761">
        <v>182.22222222222223</v>
      </c>
      <c r="X39" s="1761">
        <v>156.11111111111111</v>
      </c>
      <c r="Y39" s="1761">
        <v>116.66666666666666</v>
      </c>
      <c r="Z39" s="1761">
        <v>83.333333333333329</v>
      </c>
      <c r="AA39" s="1761">
        <v>52.5</v>
      </c>
      <c r="AB39" s="1761">
        <v>43.888888888888886</v>
      </c>
      <c r="AC39" s="1761">
        <v>1385.5555555555554</v>
      </c>
      <c r="AD39" s="1761">
        <v>49.166666666666664</v>
      </c>
      <c r="AE39" s="1761">
        <v>65.833333333333329</v>
      </c>
      <c r="AF39" s="1761">
        <v>96.666666666666657</v>
      </c>
      <c r="AG39" s="1761">
        <v>93.611111111111114</v>
      </c>
      <c r="AH39" s="1761">
        <v>88.611111111111114</v>
      </c>
      <c r="AI39" s="1761">
        <v>88.611111111111114</v>
      </c>
      <c r="AJ39" s="1761">
        <v>94.444444444444443</v>
      </c>
      <c r="AK39" s="1761">
        <v>78.888888888888886</v>
      </c>
      <c r="AL39" s="1761">
        <v>53.888888888888886</v>
      </c>
      <c r="AM39" s="1761">
        <v>41.666666666666664</v>
      </c>
      <c r="AN39" s="1761">
        <v>34.444444444444443</v>
      </c>
      <c r="AO39" s="1761">
        <v>38.055555555555557</v>
      </c>
      <c r="AP39" s="1761">
        <v>823.88888888888891</v>
      </c>
      <c r="AQ39" s="1761">
        <v>122.77777777777777</v>
      </c>
      <c r="AR39" s="1761">
        <v>135</v>
      </c>
      <c r="AS39" s="1761">
        <v>161.38888888888889</v>
      </c>
      <c r="AT39" s="1761">
        <v>122.5</v>
      </c>
      <c r="AU39" s="1761">
        <v>89.166666666666671</v>
      </c>
      <c r="AV39" s="1761">
        <v>76.944444444444443</v>
      </c>
      <c r="AW39" s="1761">
        <v>86.944444444444443</v>
      </c>
      <c r="AX39" s="1761">
        <v>97.5</v>
      </c>
      <c r="AY39" s="1761">
        <v>101.38888888888889</v>
      </c>
      <c r="AZ39" s="1761">
        <v>106.38888888888889</v>
      </c>
      <c r="BA39" s="1761">
        <v>95</v>
      </c>
      <c r="BB39" s="1761">
        <v>102.77777777777777</v>
      </c>
      <c r="BC39" s="1761">
        <v>1298.0555555555554</v>
      </c>
      <c r="BD39" s="1761">
        <v>56.666666666666664</v>
      </c>
      <c r="BE39" s="1761">
        <v>73.888888888888886</v>
      </c>
      <c r="BF39" s="1761">
        <v>107.22222222222221</v>
      </c>
      <c r="BG39" s="1761">
        <v>96.388888888888886</v>
      </c>
      <c r="BH39" s="1761">
        <v>82.5</v>
      </c>
      <c r="BI39" s="1761">
        <v>79.166666666666671</v>
      </c>
      <c r="BJ39" s="1761">
        <v>79.722222222222214</v>
      </c>
      <c r="BK39" s="1761">
        <v>72.222222222222214</v>
      </c>
      <c r="BL39" s="1761">
        <v>60.555555555555557</v>
      </c>
      <c r="BM39" s="1761">
        <v>49.166666666666664</v>
      </c>
      <c r="BN39" s="1761">
        <v>40.277777777777779</v>
      </c>
      <c r="BO39" s="1761">
        <v>43.055555555555557</v>
      </c>
      <c r="BP39" s="1761">
        <v>840.83333333333326</v>
      </c>
      <c r="BQ39" s="1761">
        <v>33.611111111111107</v>
      </c>
      <c r="BR39" s="1761">
        <v>45.833333333333336</v>
      </c>
      <c r="BS39" s="1761">
        <v>62.5</v>
      </c>
      <c r="BT39" s="1761">
        <v>55.555555555555557</v>
      </c>
      <c r="BU39" s="1761">
        <v>43.055555555555557</v>
      </c>
      <c r="BV39" s="1761">
        <v>43.888888888888886</v>
      </c>
      <c r="BW39" s="1761">
        <v>42.5</v>
      </c>
      <c r="BX39" s="1761">
        <v>35</v>
      </c>
      <c r="BY39" s="1761">
        <v>26.666666666666664</v>
      </c>
      <c r="BZ39" s="1761">
        <v>20.833333333333332</v>
      </c>
      <c r="CA39" s="1761">
        <v>21.666666666666668</v>
      </c>
      <c r="CB39" s="1761">
        <v>25.277777777777779</v>
      </c>
      <c r="CC39" s="1761">
        <v>455.83333333333331</v>
      </c>
    </row>
    <row r="40" spans="1:81">
      <c r="A40" s="1762" t="s">
        <v>4357</v>
      </c>
      <c r="B40" s="1760" t="s">
        <v>4356</v>
      </c>
      <c r="C40" s="1760">
        <v>1639</v>
      </c>
      <c r="D40" s="1760">
        <v>-3.6</v>
      </c>
      <c r="E40" s="1760">
        <v>-3.4</v>
      </c>
      <c r="F40" s="1760">
        <v>-0.7</v>
      </c>
      <c r="G40" s="1760">
        <v>1.5</v>
      </c>
      <c r="H40" s="1760">
        <v>6.4</v>
      </c>
      <c r="I40" s="1760">
        <v>10.1</v>
      </c>
      <c r="J40" s="1760">
        <v>12.7</v>
      </c>
      <c r="K40" s="1760">
        <v>12.7</v>
      </c>
      <c r="L40" s="1760">
        <v>8.6</v>
      </c>
      <c r="M40" s="1760">
        <v>4.8</v>
      </c>
      <c r="N40" s="1760">
        <v>-0.2</v>
      </c>
      <c r="O40" s="1760">
        <v>-2.6</v>
      </c>
      <c r="P40" s="1760">
        <v>3.9</v>
      </c>
      <c r="Q40" s="1761">
        <v>48.333333333333329</v>
      </c>
      <c r="R40" s="1761">
        <v>70</v>
      </c>
      <c r="S40" s="1761">
        <v>117.5</v>
      </c>
      <c r="T40" s="1761">
        <v>131.11111111111111</v>
      </c>
      <c r="U40" s="1761">
        <v>143.61111111111111</v>
      </c>
      <c r="V40" s="1761">
        <v>155.55555555555554</v>
      </c>
      <c r="W40" s="1761">
        <v>161.38888888888889</v>
      </c>
      <c r="X40" s="1761">
        <v>140.55555555555554</v>
      </c>
      <c r="Y40" s="1761">
        <v>102.22222222222221</v>
      </c>
      <c r="Z40" s="1761">
        <v>69.166666666666671</v>
      </c>
      <c r="AA40" s="1761">
        <v>45.277777777777779</v>
      </c>
      <c r="AB40" s="1761">
        <v>38.611111111111107</v>
      </c>
      <c r="AC40" s="1761">
        <v>1223.6111111111111</v>
      </c>
      <c r="AD40" s="1761">
        <v>47.5</v>
      </c>
      <c r="AE40" s="1761">
        <v>63.055555555555557</v>
      </c>
      <c r="AF40" s="1761">
        <v>94.444444444444443</v>
      </c>
      <c r="AG40" s="1761">
        <v>90.833333333333329</v>
      </c>
      <c r="AH40" s="1761">
        <v>79.722222222222214</v>
      </c>
      <c r="AI40" s="1761">
        <v>81.388888888888886</v>
      </c>
      <c r="AJ40" s="1761">
        <v>83.333333333333329</v>
      </c>
      <c r="AK40" s="1761">
        <v>74.444444444444443</v>
      </c>
      <c r="AL40" s="1761">
        <v>56.111111111111107</v>
      </c>
      <c r="AM40" s="1761">
        <v>40.833333333333336</v>
      </c>
      <c r="AN40" s="1761">
        <v>34.444444444444443</v>
      </c>
      <c r="AO40" s="1761">
        <v>37.222222222222221</v>
      </c>
      <c r="AP40" s="1761">
        <v>783.61111111111109</v>
      </c>
      <c r="AQ40" s="1761">
        <v>101.94444444444444</v>
      </c>
      <c r="AR40" s="1761">
        <v>119.72222222222221</v>
      </c>
      <c r="AS40" s="1761">
        <v>148.05555555555554</v>
      </c>
      <c r="AT40" s="1761">
        <v>111.66666666666666</v>
      </c>
      <c r="AU40" s="1761">
        <v>78.888888888888886</v>
      </c>
      <c r="AV40" s="1761">
        <v>69.722222222222214</v>
      </c>
      <c r="AW40" s="1761">
        <v>78.055555555555557</v>
      </c>
      <c r="AX40" s="1761">
        <v>86.944444444444443</v>
      </c>
      <c r="AY40" s="1761">
        <v>87.222222222222214</v>
      </c>
      <c r="AZ40" s="1761">
        <v>85.555555555555557</v>
      </c>
      <c r="BA40" s="1761">
        <v>80</v>
      </c>
      <c r="BB40" s="1761">
        <v>85.555555555555557</v>
      </c>
      <c r="BC40" s="1761">
        <v>1133.3333333333333</v>
      </c>
      <c r="BD40" s="1761">
        <v>35</v>
      </c>
      <c r="BE40" s="1761">
        <v>52.5</v>
      </c>
      <c r="BF40" s="1761">
        <v>86.388888888888886</v>
      </c>
      <c r="BG40" s="1761">
        <v>80.555555555555557</v>
      </c>
      <c r="BH40" s="1761">
        <v>65.555555555555557</v>
      </c>
      <c r="BI40" s="1761">
        <v>59.722222222222221</v>
      </c>
      <c r="BJ40" s="1761">
        <v>61.111111111111107</v>
      </c>
      <c r="BK40" s="1761">
        <v>55.833333333333329</v>
      </c>
      <c r="BL40" s="1761">
        <v>44.722222222222221</v>
      </c>
      <c r="BM40" s="1761">
        <v>31.111111111111111</v>
      </c>
      <c r="BN40" s="1761">
        <v>25.833333333333332</v>
      </c>
      <c r="BO40" s="1761">
        <v>26.666666666666664</v>
      </c>
      <c r="BP40" s="1761">
        <v>625</v>
      </c>
      <c r="BQ40" s="1761">
        <v>26.111111111111111</v>
      </c>
      <c r="BR40" s="1761">
        <v>36.388888888888886</v>
      </c>
      <c r="BS40" s="1761">
        <v>54.444444444444443</v>
      </c>
      <c r="BT40" s="1761">
        <v>52.5</v>
      </c>
      <c r="BU40" s="1761">
        <v>40.833333333333336</v>
      </c>
      <c r="BV40" s="1761">
        <v>38.055555555555557</v>
      </c>
      <c r="BW40" s="1761">
        <v>38.055555555555557</v>
      </c>
      <c r="BX40" s="1761">
        <v>31.944444444444443</v>
      </c>
      <c r="BY40" s="1761">
        <v>23.055555555555554</v>
      </c>
      <c r="BZ40" s="1761">
        <v>17.777777777777779</v>
      </c>
      <c r="CA40" s="1761">
        <v>18.055555555555554</v>
      </c>
      <c r="CB40" s="1761">
        <v>19.444444444444443</v>
      </c>
      <c r="CC40" s="1761">
        <v>396.38888888888886</v>
      </c>
    </row>
    <row r="41" spans="1:81">
      <c r="A41" s="1762" t="s">
        <v>4355</v>
      </c>
      <c r="B41" s="1760" t="s">
        <v>4354</v>
      </c>
      <c r="C41" s="1760">
        <v>779</v>
      </c>
      <c r="D41" s="1760">
        <v>-0.3</v>
      </c>
      <c r="E41" s="1760">
        <v>0.7</v>
      </c>
      <c r="F41" s="1760">
        <v>4.0999999999999996</v>
      </c>
      <c r="G41" s="1760">
        <v>6.9</v>
      </c>
      <c r="H41" s="1760">
        <v>12</v>
      </c>
      <c r="I41" s="1760">
        <v>14.7</v>
      </c>
      <c r="J41" s="1760">
        <v>16.899999999999999</v>
      </c>
      <c r="K41" s="1760">
        <v>17.100000000000001</v>
      </c>
      <c r="L41" s="1760">
        <v>12.8</v>
      </c>
      <c r="M41" s="1760">
        <v>9</v>
      </c>
      <c r="N41" s="1760">
        <v>3.5</v>
      </c>
      <c r="O41" s="1760">
        <v>1.1000000000000001</v>
      </c>
      <c r="P41" s="1760">
        <v>8.1999999999999993</v>
      </c>
      <c r="Q41" s="1761">
        <v>31.111111111111111</v>
      </c>
      <c r="R41" s="1761">
        <v>46.944444444444443</v>
      </c>
      <c r="S41" s="1761">
        <v>85.555555555555557</v>
      </c>
      <c r="T41" s="1761">
        <v>113.05555555555556</v>
      </c>
      <c r="U41" s="1761">
        <v>145</v>
      </c>
      <c r="V41" s="1761">
        <v>152.77777777777777</v>
      </c>
      <c r="W41" s="1761">
        <v>160</v>
      </c>
      <c r="X41" s="1761">
        <v>140</v>
      </c>
      <c r="Y41" s="1761">
        <v>92.777777777777771</v>
      </c>
      <c r="Z41" s="1761">
        <v>58.055555555555557</v>
      </c>
      <c r="AA41" s="1761">
        <v>32.5</v>
      </c>
      <c r="AB41" s="1761">
        <v>23.888888888888889</v>
      </c>
      <c r="AC41" s="1761">
        <v>1081.6666666666667</v>
      </c>
      <c r="AD41" s="1761">
        <v>20.833333333333332</v>
      </c>
      <c r="AE41" s="1761">
        <v>33.055555555555557</v>
      </c>
      <c r="AF41" s="1761">
        <v>55</v>
      </c>
      <c r="AG41" s="1761">
        <v>66.944444444444443</v>
      </c>
      <c r="AH41" s="1761">
        <v>81.111111111111114</v>
      </c>
      <c r="AI41" s="1761">
        <v>81.388888888888886</v>
      </c>
      <c r="AJ41" s="1761">
        <v>86.388888888888886</v>
      </c>
      <c r="AK41" s="1761">
        <v>77.5</v>
      </c>
      <c r="AL41" s="1761">
        <v>51.944444444444443</v>
      </c>
      <c r="AM41" s="1761">
        <v>31.944444444444443</v>
      </c>
      <c r="AN41" s="1761">
        <v>19.444444444444443</v>
      </c>
      <c r="AO41" s="1761">
        <v>15.555555555555555</v>
      </c>
      <c r="AP41" s="1761">
        <v>620.83333333333337</v>
      </c>
      <c r="AQ41" s="1761">
        <v>53.611111111111107</v>
      </c>
      <c r="AR41" s="1761">
        <v>67.777777777777771</v>
      </c>
      <c r="AS41" s="1761">
        <v>88.611111111111114</v>
      </c>
      <c r="AT41" s="1761">
        <v>78.611111111111114</v>
      </c>
      <c r="AU41" s="1761">
        <v>75.277777777777771</v>
      </c>
      <c r="AV41" s="1761">
        <v>69.722222222222214</v>
      </c>
      <c r="AW41" s="1761">
        <v>78.055555555555557</v>
      </c>
      <c r="AX41" s="1761">
        <v>86.944444444444443</v>
      </c>
      <c r="AY41" s="1761">
        <v>79.166666666666671</v>
      </c>
      <c r="AZ41" s="1761">
        <v>66.944444444444443</v>
      </c>
      <c r="BA41" s="1761">
        <v>47.5</v>
      </c>
      <c r="BB41" s="1761">
        <v>40.277777777777779</v>
      </c>
      <c r="BC41" s="1761">
        <v>832.5</v>
      </c>
      <c r="BD41" s="1761">
        <v>23.888888888888889</v>
      </c>
      <c r="BE41" s="1761">
        <v>36.944444444444443</v>
      </c>
      <c r="BF41" s="1761">
        <v>57.222222222222221</v>
      </c>
      <c r="BG41" s="1761">
        <v>65.555555555555557</v>
      </c>
      <c r="BH41" s="1761">
        <v>78.888888888888886</v>
      </c>
      <c r="BI41" s="1761">
        <v>81.944444444444443</v>
      </c>
      <c r="BJ41" s="1761">
        <v>88.611111111111114</v>
      </c>
      <c r="BK41" s="1761">
        <v>81.111111111111114</v>
      </c>
      <c r="BL41" s="1761">
        <v>56.944444444444443</v>
      </c>
      <c r="BM41" s="1761">
        <v>38.055555555555557</v>
      </c>
      <c r="BN41" s="1761">
        <v>21.666666666666668</v>
      </c>
      <c r="BO41" s="1761">
        <v>16.388888888888889</v>
      </c>
      <c r="BP41" s="1761">
        <v>646.94444444444446</v>
      </c>
      <c r="BQ41" s="1761">
        <v>14.166666666666666</v>
      </c>
      <c r="BR41" s="1761">
        <v>20.277777777777779</v>
      </c>
      <c r="BS41" s="1761">
        <v>31.111111111111111</v>
      </c>
      <c r="BT41" s="1761">
        <v>35.277777777777779</v>
      </c>
      <c r="BU41" s="1761">
        <v>44.722222222222221</v>
      </c>
      <c r="BV41" s="1761">
        <v>48.888888888888886</v>
      </c>
      <c r="BW41" s="1761">
        <v>48.333333333333329</v>
      </c>
      <c r="BX41" s="1761">
        <v>38.611111111111107</v>
      </c>
      <c r="BY41" s="1761">
        <v>26.666666666666664</v>
      </c>
      <c r="BZ41" s="1761">
        <v>17.777777777777779</v>
      </c>
      <c r="CA41" s="1761">
        <v>12.222222222222221</v>
      </c>
      <c r="CB41" s="1761">
        <v>10.277777777777777</v>
      </c>
      <c r="CC41" s="1761">
        <v>348.61111111111109</v>
      </c>
    </row>
    <row r="42" spans="1:81">
      <c r="A42" s="1760" t="s">
        <v>4353</v>
      </c>
      <c r="B42" s="1760" t="s">
        <v>4352</v>
      </c>
      <c r="C42" s="1760">
        <v>437</v>
      </c>
      <c r="D42" s="1760">
        <v>0.1</v>
      </c>
      <c r="E42" s="1760">
        <v>1.3</v>
      </c>
      <c r="F42" s="1760">
        <v>5.4</v>
      </c>
      <c r="G42" s="1760">
        <v>8.6999999999999993</v>
      </c>
      <c r="H42" s="1760">
        <v>13.8</v>
      </c>
      <c r="I42" s="1760">
        <v>16.5</v>
      </c>
      <c r="J42" s="1760">
        <v>18.7</v>
      </c>
      <c r="K42" s="1760">
        <v>18.600000000000001</v>
      </c>
      <c r="L42" s="1760">
        <v>14.1</v>
      </c>
      <c r="M42" s="1760">
        <v>9.6</v>
      </c>
      <c r="N42" s="1760">
        <v>4.0999999999999996</v>
      </c>
      <c r="O42" s="1760">
        <v>1.5</v>
      </c>
      <c r="P42" s="1760">
        <v>9.4</v>
      </c>
      <c r="Q42" s="1761">
        <v>26.666666666666664</v>
      </c>
      <c r="R42" s="1761">
        <v>45</v>
      </c>
      <c r="S42" s="1761">
        <v>84.722222222222214</v>
      </c>
      <c r="T42" s="1761">
        <v>115.83333333333333</v>
      </c>
      <c r="U42" s="1761">
        <v>153.88888888888889</v>
      </c>
      <c r="V42" s="1761">
        <v>165</v>
      </c>
      <c r="W42" s="1761">
        <v>169.72222222222223</v>
      </c>
      <c r="X42" s="1761">
        <v>147.22222222222223</v>
      </c>
      <c r="Y42" s="1761">
        <v>99.444444444444443</v>
      </c>
      <c r="Z42" s="1761">
        <v>57.222222222222221</v>
      </c>
      <c r="AA42" s="1761">
        <v>28.055555555555554</v>
      </c>
      <c r="AB42" s="1761">
        <v>20.833333333333332</v>
      </c>
      <c r="AC42" s="1761">
        <v>1113.8888888888889</v>
      </c>
      <c r="AD42" s="1761">
        <v>16.388888888888889</v>
      </c>
      <c r="AE42" s="1761">
        <v>28.333333333333332</v>
      </c>
      <c r="AF42" s="1761">
        <v>51.944444444444443</v>
      </c>
      <c r="AG42" s="1761">
        <v>68.333333333333329</v>
      </c>
      <c r="AH42" s="1761">
        <v>87.777777777777771</v>
      </c>
      <c r="AI42" s="1761">
        <v>92.777777777777771</v>
      </c>
      <c r="AJ42" s="1761">
        <v>98.333333333333329</v>
      </c>
      <c r="AK42" s="1761">
        <v>86.944444444444443</v>
      </c>
      <c r="AL42" s="1761">
        <v>57.5</v>
      </c>
      <c r="AM42" s="1761">
        <v>30.555555555555554</v>
      </c>
      <c r="AN42" s="1761">
        <v>15.833333333333332</v>
      </c>
      <c r="AO42" s="1761">
        <v>12.777777777777777</v>
      </c>
      <c r="AP42" s="1761">
        <v>647.5</v>
      </c>
      <c r="AQ42" s="1761">
        <v>38.611111111111107</v>
      </c>
      <c r="AR42" s="1761">
        <v>58.333333333333329</v>
      </c>
      <c r="AS42" s="1761">
        <v>82.5</v>
      </c>
      <c r="AT42" s="1761">
        <v>80.555555555555557</v>
      </c>
      <c r="AU42" s="1761">
        <v>81.944444444444443</v>
      </c>
      <c r="AV42" s="1761">
        <v>77.777777777777771</v>
      </c>
      <c r="AW42" s="1761">
        <v>85.555555555555557</v>
      </c>
      <c r="AX42" s="1761">
        <v>95.277777777777771</v>
      </c>
      <c r="AY42" s="1761">
        <v>87.222222222222214</v>
      </c>
      <c r="AZ42" s="1761">
        <v>65.555555555555557</v>
      </c>
      <c r="BA42" s="1761">
        <v>36.111111111111107</v>
      </c>
      <c r="BB42" s="1761">
        <v>30.555555555555554</v>
      </c>
      <c r="BC42" s="1761">
        <v>820</v>
      </c>
      <c r="BD42" s="1761">
        <v>16.388888888888889</v>
      </c>
      <c r="BE42" s="1761">
        <v>27.5</v>
      </c>
      <c r="BF42" s="1761">
        <v>44.722222222222221</v>
      </c>
      <c r="BG42" s="1761">
        <v>56.111111111111107</v>
      </c>
      <c r="BH42" s="1761">
        <v>74.444444444444443</v>
      </c>
      <c r="BI42" s="1761">
        <v>80</v>
      </c>
      <c r="BJ42" s="1761">
        <v>83.333333333333329</v>
      </c>
      <c r="BK42" s="1761">
        <v>72.222222222222214</v>
      </c>
      <c r="BL42" s="1761">
        <v>51.111111111111107</v>
      </c>
      <c r="BM42" s="1761">
        <v>33.611111111111107</v>
      </c>
      <c r="BN42" s="1761">
        <v>15.833333333333332</v>
      </c>
      <c r="BO42" s="1761">
        <v>11.944444444444445</v>
      </c>
      <c r="BP42" s="1761">
        <v>566.94444444444446</v>
      </c>
      <c r="BQ42" s="1761">
        <v>11.111111111111111</v>
      </c>
      <c r="BR42" s="1761">
        <v>16.111111111111111</v>
      </c>
      <c r="BS42" s="1761">
        <v>25.277777777777779</v>
      </c>
      <c r="BT42" s="1761">
        <v>32.5</v>
      </c>
      <c r="BU42" s="1761">
        <v>43.888888888888886</v>
      </c>
      <c r="BV42" s="1761">
        <v>49.722222222222221</v>
      </c>
      <c r="BW42" s="1761">
        <v>48.333333333333329</v>
      </c>
      <c r="BX42" s="1761">
        <v>38.611111111111107</v>
      </c>
      <c r="BY42" s="1761">
        <v>26.666666666666664</v>
      </c>
      <c r="BZ42" s="1761">
        <v>17.777777777777779</v>
      </c>
      <c r="CA42" s="1761">
        <v>10</v>
      </c>
      <c r="CB42" s="1761">
        <v>8.0555555555555554</v>
      </c>
      <c r="CC42" s="1761">
        <v>328.33333333333331</v>
      </c>
    </row>
    <row r="43" spans="1:81">
      <c r="A43" s="1760" t="s">
        <v>4351</v>
      </c>
      <c r="B43" s="1760" t="s">
        <v>4350</v>
      </c>
      <c r="C43" s="1760">
        <v>1298</v>
      </c>
      <c r="D43" s="1760">
        <v>-4.3</v>
      </c>
      <c r="E43" s="1760">
        <v>-2.8</v>
      </c>
      <c r="F43" s="1760">
        <v>1.4</v>
      </c>
      <c r="G43" s="1760">
        <v>4.8</v>
      </c>
      <c r="H43" s="1760">
        <v>10.1</v>
      </c>
      <c r="I43" s="1760">
        <v>12.7</v>
      </c>
      <c r="J43" s="1760">
        <v>15</v>
      </c>
      <c r="K43" s="1760">
        <v>14.8</v>
      </c>
      <c r="L43" s="1760">
        <v>10.7</v>
      </c>
      <c r="M43" s="1760">
        <v>6.6</v>
      </c>
      <c r="N43" s="1760">
        <v>0.2</v>
      </c>
      <c r="O43" s="1760">
        <v>-3.2</v>
      </c>
      <c r="P43" s="1760">
        <v>5.5</v>
      </c>
      <c r="Q43" s="1761">
        <v>48.333333333333329</v>
      </c>
      <c r="R43" s="1761">
        <v>68.611111111111114</v>
      </c>
      <c r="S43" s="1761">
        <v>118.33333333333333</v>
      </c>
      <c r="T43" s="1761">
        <v>143.33333333333334</v>
      </c>
      <c r="U43" s="1761">
        <v>168.05555555555554</v>
      </c>
      <c r="V43" s="1761">
        <v>169.16666666666666</v>
      </c>
      <c r="W43" s="1761">
        <v>178.61111111111111</v>
      </c>
      <c r="X43" s="1761">
        <v>152.5</v>
      </c>
      <c r="Y43" s="1761">
        <v>114.44444444444444</v>
      </c>
      <c r="Z43" s="1761">
        <v>81.111111111111114</v>
      </c>
      <c r="AA43" s="1761">
        <v>48.333333333333329</v>
      </c>
      <c r="AB43" s="1761">
        <v>37.222222222222221</v>
      </c>
      <c r="AC43" s="1761">
        <v>1328.0555555555554</v>
      </c>
      <c r="AD43" s="1761">
        <v>35.833333333333336</v>
      </c>
      <c r="AE43" s="1761">
        <v>50.277777777777779</v>
      </c>
      <c r="AF43" s="1761">
        <v>77.5</v>
      </c>
      <c r="AG43" s="1761">
        <v>85.555555555555557</v>
      </c>
      <c r="AH43" s="1761">
        <v>96.666666666666657</v>
      </c>
      <c r="AI43" s="1761">
        <v>96.388888888888886</v>
      </c>
      <c r="AJ43" s="1761">
        <v>102.77777777777777</v>
      </c>
      <c r="AK43" s="1761">
        <v>87.777777777777771</v>
      </c>
      <c r="AL43" s="1761">
        <v>61.944444444444443</v>
      </c>
      <c r="AM43" s="1761">
        <v>40.277777777777779</v>
      </c>
      <c r="AN43" s="1761">
        <v>25.277777777777779</v>
      </c>
      <c r="AO43" s="1761">
        <v>24.444444444444443</v>
      </c>
      <c r="AP43" s="1761">
        <v>784.72222222222217</v>
      </c>
      <c r="AQ43" s="1761">
        <v>101.11111111111111</v>
      </c>
      <c r="AR43" s="1761">
        <v>116.38888888888889</v>
      </c>
      <c r="AS43" s="1761">
        <v>136.11111111111111</v>
      </c>
      <c r="AT43" s="1761">
        <v>101.38888888888889</v>
      </c>
      <c r="AU43" s="1761">
        <v>84.166666666666671</v>
      </c>
      <c r="AV43" s="1761">
        <v>74.166666666666671</v>
      </c>
      <c r="AW43" s="1761">
        <v>84.722222222222214</v>
      </c>
      <c r="AX43" s="1761">
        <v>93.611111111111114</v>
      </c>
      <c r="AY43" s="1761">
        <v>99.444444444444443</v>
      </c>
      <c r="AZ43" s="1761">
        <v>101.94444444444444</v>
      </c>
      <c r="BA43" s="1761">
        <v>81.388888888888886</v>
      </c>
      <c r="BB43" s="1761">
        <v>75.277777777777771</v>
      </c>
      <c r="BC43" s="1761">
        <v>1149.7222222222222</v>
      </c>
      <c r="BD43" s="1761">
        <v>42.5</v>
      </c>
      <c r="BE43" s="1761">
        <v>59.722222222222221</v>
      </c>
      <c r="BF43" s="1761">
        <v>82.5</v>
      </c>
      <c r="BG43" s="1761">
        <v>73.333333333333329</v>
      </c>
      <c r="BH43" s="1761">
        <v>72.777777777777771</v>
      </c>
      <c r="BI43" s="1761">
        <v>71.388888888888886</v>
      </c>
      <c r="BJ43" s="1761">
        <v>78.055555555555557</v>
      </c>
      <c r="BK43" s="1761">
        <v>68.333333333333329</v>
      </c>
      <c r="BL43" s="1761">
        <v>60.555555555555557</v>
      </c>
      <c r="BM43" s="1761">
        <v>48.333333333333329</v>
      </c>
      <c r="BN43" s="1761">
        <v>31.666666666666664</v>
      </c>
      <c r="BO43" s="1761">
        <v>27.5</v>
      </c>
      <c r="BP43" s="1761">
        <v>716.94444444444446</v>
      </c>
      <c r="BQ43" s="1761">
        <v>25.277777777777779</v>
      </c>
      <c r="BR43" s="1761">
        <v>33.055555555555557</v>
      </c>
      <c r="BS43" s="1761">
        <v>40.833333333333336</v>
      </c>
      <c r="BT43" s="1761">
        <v>37.5</v>
      </c>
      <c r="BU43" s="1761">
        <v>41.666666666666664</v>
      </c>
      <c r="BV43" s="1761">
        <v>44.722222222222221</v>
      </c>
      <c r="BW43" s="1761">
        <v>44.722222222222221</v>
      </c>
      <c r="BX43" s="1761">
        <v>34.166666666666664</v>
      </c>
      <c r="BY43" s="1761">
        <v>25.277777777777779</v>
      </c>
      <c r="BZ43" s="1761">
        <v>18.611111111111111</v>
      </c>
      <c r="CA43" s="1761">
        <v>15</v>
      </c>
      <c r="CB43" s="1761">
        <v>17.777777777777779</v>
      </c>
      <c r="CC43" s="1761">
        <v>378.61111111111109</v>
      </c>
    </row>
    <row r="44" spans="1:81">
      <c r="A44" s="1760" t="s">
        <v>4349</v>
      </c>
      <c r="B44" s="1760" t="s">
        <v>4348</v>
      </c>
      <c r="C44" s="1760">
        <v>482</v>
      </c>
      <c r="D44" s="1760">
        <v>-0.1</v>
      </c>
      <c r="E44" s="1760">
        <v>2</v>
      </c>
      <c r="F44" s="1760">
        <v>6.7</v>
      </c>
      <c r="G44" s="1760">
        <v>10</v>
      </c>
      <c r="H44" s="1760">
        <v>15</v>
      </c>
      <c r="I44" s="1760">
        <v>17.8</v>
      </c>
      <c r="J44" s="1760">
        <v>19.899999999999999</v>
      </c>
      <c r="K44" s="1760">
        <v>19.399999999999999</v>
      </c>
      <c r="L44" s="1760">
        <v>15</v>
      </c>
      <c r="M44" s="1760">
        <v>10.3</v>
      </c>
      <c r="N44" s="1760">
        <v>4.3</v>
      </c>
      <c r="O44" s="1760">
        <v>0.8</v>
      </c>
      <c r="P44" s="1760">
        <v>10.1</v>
      </c>
      <c r="Q44" s="1761">
        <v>40.277777777777779</v>
      </c>
      <c r="R44" s="1761">
        <v>62.5</v>
      </c>
      <c r="S44" s="1761">
        <v>111.66666666666666</v>
      </c>
      <c r="T44" s="1761">
        <v>143.33333333333334</v>
      </c>
      <c r="U44" s="1761">
        <v>177.77777777777777</v>
      </c>
      <c r="V44" s="1761">
        <v>188.05555555555554</v>
      </c>
      <c r="W44" s="1761">
        <v>192.77777777777777</v>
      </c>
      <c r="X44" s="1761">
        <v>165.27777777777777</v>
      </c>
      <c r="Y44" s="1761">
        <v>120.83333333333333</v>
      </c>
      <c r="Z44" s="1761">
        <v>80.277777777777771</v>
      </c>
      <c r="AA44" s="1761">
        <v>43.333333333333336</v>
      </c>
      <c r="AB44" s="1761">
        <v>30.555555555555554</v>
      </c>
      <c r="AC44" s="1761">
        <v>1356.1111111111111</v>
      </c>
      <c r="AD44" s="1761">
        <v>17.222222222222221</v>
      </c>
      <c r="AE44" s="1761">
        <v>34.166666666666664</v>
      </c>
      <c r="AF44" s="1761">
        <v>61.666666666666664</v>
      </c>
      <c r="AG44" s="1761">
        <v>78.611111111111114</v>
      </c>
      <c r="AH44" s="1761">
        <v>96.111111111111114</v>
      </c>
      <c r="AI44" s="1761">
        <v>101.38888888888889</v>
      </c>
      <c r="AJ44" s="1761">
        <v>105</v>
      </c>
      <c r="AK44" s="1761">
        <v>93.611111111111114</v>
      </c>
      <c r="AL44" s="1761">
        <v>66.944444444444443</v>
      </c>
      <c r="AM44" s="1761">
        <v>42.5</v>
      </c>
      <c r="AN44" s="1761">
        <v>18.055555555555554</v>
      </c>
      <c r="AO44" s="1761">
        <v>11.944444444444445</v>
      </c>
      <c r="AP44" s="1761">
        <v>726.94444444444446</v>
      </c>
      <c r="AQ44" s="1761">
        <v>65.555555555555557</v>
      </c>
      <c r="AR44" s="1761">
        <v>90</v>
      </c>
      <c r="AS44" s="1761">
        <v>111.66666666666666</v>
      </c>
      <c r="AT44" s="1761">
        <v>97.222222222222214</v>
      </c>
      <c r="AU44" s="1761">
        <v>90</v>
      </c>
      <c r="AV44" s="1761">
        <v>81.944444444444443</v>
      </c>
      <c r="AW44" s="1761">
        <v>90.833333333333329</v>
      </c>
      <c r="AX44" s="1761">
        <v>101.94444444444444</v>
      </c>
      <c r="AY44" s="1761">
        <v>105.83333333333333</v>
      </c>
      <c r="AZ44" s="1761">
        <v>98.333333333333329</v>
      </c>
      <c r="BA44" s="1761">
        <v>65.555555555555557</v>
      </c>
      <c r="BB44" s="1761">
        <v>48.333333333333329</v>
      </c>
      <c r="BC44" s="1761">
        <v>1046.9444444444443</v>
      </c>
      <c r="BD44" s="1761">
        <v>28.333333333333332</v>
      </c>
      <c r="BE44" s="1761">
        <v>42.222222222222221</v>
      </c>
      <c r="BF44" s="1761">
        <v>61.111111111111107</v>
      </c>
      <c r="BG44" s="1761">
        <v>71.388888888888886</v>
      </c>
      <c r="BH44" s="1761">
        <v>84.166666666666671</v>
      </c>
      <c r="BI44" s="1761">
        <v>86.388888888888886</v>
      </c>
      <c r="BJ44" s="1761">
        <v>90.833333333333329</v>
      </c>
      <c r="BK44" s="1761">
        <v>81.111111111111114</v>
      </c>
      <c r="BL44" s="1761">
        <v>65.555555555555557</v>
      </c>
      <c r="BM44" s="1761">
        <v>46.111111111111107</v>
      </c>
      <c r="BN44" s="1761">
        <v>28.888888888888889</v>
      </c>
      <c r="BO44" s="1761">
        <v>20.833333333333332</v>
      </c>
      <c r="BP44" s="1761">
        <v>706.38888888888891</v>
      </c>
      <c r="BQ44" s="1761">
        <v>12.777777777777777</v>
      </c>
      <c r="BR44" s="1761">
        <v>18.888888888888889</v>
      </c>
      <c r="BS44" s="1761">
        <v>26.111111111111111</v>
      </c>
      <c r="BT44" s="1761">
        <v>33.888888888888886</v>
      </c>
      <c r="BU44" s="1761">
        <v>44.722222222222221</v>
      </c>
      <c r="BV44" s="1761">
        <v>48.333333333333329</v>
      </c>
      <c r="BW44" s="1761">
        <v>47.5</v>
      </c>
      <c r="BX44" s="1761">
        <v>38.055555555555557</v>
      </c>
      <c r="BY44" s="1761">
        <v>27.222222222222221</v>
      </c>
      <c r="BZ44" s="1761">
        <v>20</v>
      </c>
      <c r="CA44" s="1761">
        <v>12.222222222222221</v>
      </c>
      <c r="CB44" s="1761">
        <v>10.277777777777777</v>
      </c>
      <c r="CC44" s="1761">
        <v>340</v>
      </c>
    </row>
    <row r="45" spans="1:81">
      <c r="A45" s="1760" t="s">
        <v>4347</v>
      </c>
      <c r="B45" s="1760" t="s">
        <v>4346</v>
      </c>
      <c r="C45" s="1760">
        <v>1345</v>
      </c>
      <c r="D45" s="1760">
        <v>-7.5</v>
      </c>
      <c r="E45" s="1760">
        <v>-5.6</v>
      </c>
      <c r="F45" s="1760">
        <v>-0.7</v>
      </c>
      <c r="G45" s="1760">
        <v>2.8</v>
      </c>
      <c r="H45" s="1760">
        <v>8.3000000000000007</v>
      </c>
      <c r="I45" s="1760">
        <v>11.6</v>
      </c>
      <c r="J45" s="1760">
        <v>14.1</v>
      </c>
      <c r="K45" s="1760">
        <v>13.8</v>
      </c>
      <c r="L45" s="1760">
        <v>9.6</v>
      </c>
      <c r="M45" s="1760">
        <v>5.3</v>
      </c>
      <c r="N45" s="1760">
        <v>-1.4</v>
      </c>
      <c r="O45" s="1760">
        <v>-5.6</v>
      </c>
      <c r="P45" s="1760">
        <v>3.7</v>
      </c>
      <c r="Q45" s="1761">
        <v>40.833333333333336</v>
      </c>
      <c r="R45" s="1761">
        <v>63.888888888888886</v>
      </c>
      <c r="S45" s="1761">
        <v>116.94444444444444</v>
      </c>
      <c r="T45" s="1761">
        <v>138.33333333333334</v>
      </c>
      <c r="U45" s="1761">
        <v>162.22222222222223</v>
      </c>
      <c r="V45" s="1761">
        <v>170.55555555555554</v>
      </c>
      <c r="W45" s="1761">
        <v>176.94444444444443</v>
      </c>
      <c r="X45" s="1761">
        <v>153.33333333333334</v>
      </c>
      <c r="Y45" s="1761">
        <v>111.66666666666666</v>
      </c>
      <c r="Z45" s="1761">
        <v>74.444444444444443</v>
      </c>
      <c r="AA45" s="1761">
        <v>41.111111111111107</v>
      </c>
      <c r="AB45" s="1761">
        <v>30.555555555555554</v>
      </c>
      <c r="AC45" s="1761">
        <v>1280.5555555555554</v>
      </c>
      <c r="AD45" s="1761">
        <v>26.666666666666664</v>
      </c>
      <c r="AE45" s="1761">
        <v>49.166666666666664</v>
      </c>
      <c r="AF45" s="1761">
        <v>100.55555555555556</v>
      </c>
      <c r="AG45" s="1761">
        <v>113.05555555555556</v>
      </c>
      <c r="AH45" s="1761">
        <v>82.5</v>
      </c>
      <c r="AI45" s="1761">
        <v>90</v>
      </c>
      <c r="AJ45" s="1761">
        <v>93.055555555555557</v>
      </c>
      <c r="AK45" s="1761">
        <v>80.277777777777771</v>
      </c>
      <c r="AL45" s="1761">
        <v>56.111111111111107</v>
      </c>
      <c r="AM45" s="1761">
        <v>36.388888888888886</v>
      </c>
      <c r="AN45" s="1761">
        <v>14.444444444444445</v>
      </c>
      <c r="AO45" s="1761">
        <v>20</v>
      </c>
      <c r="AP45" s="1761">
        <v>762.22222222222217</v>
      </c>
      <c r="AQ45" s="1761">
        <v>80.277777777777771</v>
      </c>
      <c r="AR45" s="1761">
        <v>109.44444444444444</v>
      </c>
      <c r="AS45" s="1761">
        <v>156.94444444444443</v>
      </c>
      <c r="AT45" s="1761">
        <v>138.88888888888889</v>
      </c>
      <c r="AU45" s="1761">
        <v>80.277777777777771</v>
      </c>
      <c r="AV45" s="1761">
        <v>75</v>
      </c>
      <c r="AW45" s="1761">
        <v>84.166666666666671</v>
      </c>
      <c r="AX45" s="1761">
        <v>94.444444444444443</v>
      </c>
      <c r="AY45" s="1761">
        <v>96.388888888888886</v>
      </c>
      <c r="AZ45" s="1761">
        <v>90.833333333333329</v>
      </c>
      <c r="BA45" s="1761">
        <v>59.722222222222221</v>
      </c>
      <c r="BB45" s="1761">
        <v>62.5</v>
      </c>
      <c r="BC45" s="1761">
        <v>1129.1666666666667</v>
      </c>
      <c r="BD45" s="1761">
        <v>44.722222222222221</v>
      </c>
      <c r="BE45" s="1761">
        <v>61.944444444444443</v>
      </c>
      <c r="BF45" s="1761">
        <v>102.77777777777777</v>
      </c>
      <c r="BG45" s="1761">
        <v>113.88888888888889</v>
      </c>
      <c r="BH45" s="1761">
        <v>73.611111111111114</v>
      </c>
      <c r="BI45" s="1761">
        <v>74.166666666666671</v>
      </c>
      <c r="BJ45" s="1761">
        <v>78.055555555555557</v>
      </c>
      <c r="BK45" s="1761">
        <v>70</v>
      </c>
      <c r="BL45" s="1761">
        <v>58.333333333333329</v>
      </c>
      <c r="BM45" s="1761">
        <v>42.5</v>
      </c>
      <c r="BN45" s="1761">
        <v>28.055555555555554</v>
      </c>
      <c r="BO45" s="1761">
        <v>35.833333333333336</v>
      </c>
      <c r="BP45" s="1761">
        <v>783.33333333333326</v>
      </c>
      <c r="BQ45" s="1761">
        <v>24.444444444444443</v>
      </c>
      <c r="BR45" s="1761">
        <v>36.944444444444443</v>
      </c>
      <c r="BS45" s="1761">
        <v>64.722222222222214</v>
      </c>
      <c r="BT45" s="1761">
        <v>77.777777777777771</v>
      </c>
      <c r="BU45" s="1761">
        <v>38.055555555555557</v>
      </c>
      <c r="BV45" s="1761">
        <v>42.5</v>
      </c>
      <c r="BW45" s="1761">
        <v>41.666666666666664</v>
      </c>
      <c r="BX45" s="1761">
        <v>33.611111111111107</v>
      </c>
      <c r="BY45" s="1761">
        <v>24.444444444444443</v>
      </c>
      <c r="BZ45" s="1761">
        <v>17.222222222222221</v>
      </c>
      <c r="CA45" s="1761">
        <v>10.833333333333334</v>
      </c>
      <c r="CB45" s="1761">
        <v>18.611111111111111</v>
      </c>
      <c r="CC45" s="1761">
        <v>430.55555555555554</v>
      </c>
    </row>
    <row r="46" spans="1:81">
      <c r="A46" s="1760" t="s">
        <v>4345</v>
      </c>
      <c r="B46" s="1760" t="s">
        <v>4344</v>
      </c>
      <c r="C46" s="1760">
        <v>460</v>
      </c>
      <c r="D46" s="1760">
        <v>0.8</v>
      </c>
      <c r="E46" s="1760">
        <v>2.1</v>
      </c>
      <c r="F46" s="1760">
        <v>6.3</v>
      </c>
      <c r="G46" s="1760">
        <v>9.4</v>
      </c>
      <c r="H46" s="1760">
        <v>14.4</v>
      </c>
      <c r="I46" s="1760">
        <v>16.7</v>
      </c>
      <c r="J46" s="1760">
        <v>18.7</v>
      </c>
      <c r="K46" s="1760">
        <v>18.7</v>
      </c>
      <c r="L46" s="1760">
        <v>14.6</v>
      </c>
      <c r="M46" s="1760">
        <v>10.8</v>
      </c>
      <c r="N46" s="1760">
        <v>4.9000000000000004</v>
      </c>
      <c r="O46" s="1760">
        <v>2</v>
      </c>
      <c r="P46" s="1760">
        <v>10</v>
      </c>
      <c r="Q46" s="1761">
        <v>35</v>
      </c>
      <c r="R46" s="1761">
        <v>52.5</v>
      </c>
      <c r="S46" s="1761">
        <v>90.833333333333329</v>
      </c>
      <c r="T46" s="1761">
        <v>118.88888888888889</v>
      </c>
      <c r="U46" s="1761">
        <v>152.5</v>
      </c>
      <c r="V46" s="1761">
        <v>153.33333333333334</v>
      </c>
      <c r="W46" s="1761">
        <v>157.77777777777777</v>
      </c>
      <c r="X46" s="1761">
        <v>138.33333333333334</v>
      </c>
      <c r="Y46" s="1761">
        <v>98.055555555555557</v>
      </c>
      <c r="Z46" s="1761">
        <v>66.111111111111114</v>
      </c>
      <c r="AA46" s="1761">
        <v>35.277777777777779</v>
      </c>
      <c r="AB46" s="1761">
        <v>26.111111111111111</v>
      </c>
      <c r="AC46" s="1761">
        <v>1124.4444444444443</v>
      </c>
      <c r="AD46" s="1761">
        <v>17.777777777777779</v>
      </c>
      <c r="AE46" s="1761">
        <v>29.444444444444443</v>
      </c>
      <c r="AF46" s="1761">
        <v>44.722222222222221</v>
      </c>
      <c r="AG46" s="1761">
        <v>55.555555555555557</v>
      </c>
      <c r="AH46" s="1761">
        <v>68.333333333333329</v>
      </c>
      <c r="AI46" s="1761">
        <v>67.777777777777771</v>
      </c>
      <c r="AJ46" s="1761">
        <v>71.388888888888886</v>
      </c>
      <c r="AK46" s="1761">
        <v>63.333333333333329</v>
      </c>
      <c r="AL46" s="1761">
        <v>46.666666666666664</v>
      </c>
      <c r="AM46" s="1761">
        <v>31.111111111111111</v>
      </c>
      <c r="AN46" s="1761">
        <v>16.666666666666668</v>
      </c>
      <c r="AO46" s="1761">
        <v>11.944444444444445</v>
      </c>
      <c r="AP46" s="1761">
        <v>524.72222222222217</v>
      </c>
      <c r="AQ46" s="1761">
        <v>58.055555555555557</v>
      </c>
      <c r="AR46" s="1761">
        <v>73.888888888888886</v>
      </c>
      <c r="AS46" s="1761">
        <v>87.777777777777771</v>
      </c>
      <c r="AT46" s="1761">
        <v>81.388888888888886</v>
      </c>
      <c r="AU46" s="1761">
        <v>79.722222222222214</v>
      </c>
      <c r="AV46" s="1761">
        <v>70.555555555555557</v>
      </c>
      <c r="AW46" s="1761">
        <v>78.055555555555557</v>
      </c>
      <c r="AX46" s="1761">
        <v>86.944444444444443</v>
      </c>
      <c r="AY46" s="1761">
        <v>84.166666666666671</v>
      </c>
      <c r="AZ46" s="1761">
        <v>77.5</v>
      </c>
      <c r="BA46" s="1761">
        <v>51.944444444444443</v>
      </c>
      <c r="BB46" s="1761">
        <v>42.5</v>
      </c>
      <c r="BC46" s="1761">
        <v>872.22222222222217</v>
      </c>
      <c r="BD46" s="1761">
        <v>23.888888888888889</v>
      </c>
      <c r="BE46" s="1761">
        <v>35.555555555555557</v>
      </c>
      <c r="BF46" s="1761">
        <v>49.722222222222221</v>
      </c>
      <c r="BG46" s="1761">
        <v>59.722222222222221</v>
      </c>
      <c r="BH46" s="1761">
        <v>75.277777777777771</v>
      </c>
      <c r="BI46" s="1761">
        <v>73.333333333333329</v>
      </c>
      <c r="BJ46" s="1761">
        <v>76.666666666666671</v>
      </c>
      <c r="BK46" s="1761">
        <v>69.166666666666671</v>
      </c>
      <c r="BL46" s="1761">
        <v>50.277777777777779</v>
      </c>
      <c r="BM46" s="1761">
        <v>35.833333333333336</v>
      </c>
      <c r="BN46" s="1761">
        <v>20.833333333333332</v>
      </c>
      <c r="BO46" s="1761">
        <v>16.388888888888889</v>
      </c>
      <c r="BP46" s="1761">
        <v>586.66666666666663</v>
      </c>
      <c r="BQ46" s="1761">
        <v>12.777777777777777</v>
      </c>
      <c r="BR46" s="1761">
        <v>18.888888888888889</v>
      </c>
      <c r="BS46" s="1761">
        <v>24.444444444444443</v>
      </c>
      <c r="BT46" s="1761">
        <v>30.277777777777779</v>
      </c>
      <c r="BU46" s="1761">
        <v>38.611111111111107</v>
      </c>
      <c r="BV46" s="1761">
        <v>41.111111111111107</v>
      </c>
      <c r="BW46" s="1761">
        <v>40.277777777777779</v>
      </c>
      <c r="BX46" s="1761">
        <v>33.611111111111107</v>
      </c>
      <c r="BY46" s="1761">
        <v>24.444444444444443</v>
      </c>
      <c r="BZ46" s="1761">
        <v>17.777777777777779</v>
      </c>
      <c r="CA46" s="1761">
        <v>10.833333333333334</v>
      </c>
      <c r="CB46" s="1761">
        <v>8.8888888888888893</v>
      </c>
      <c r="CC46" s="1761">
        <v>301.66666666666669</v>
      </c>
    </row>
    <row r="47" spans="1:81">
      <c r="A47" s="1760" t="s">
        <v>4343</v>
      </c>
      <c r="B47" s="1760" t="s">
        <v>4342</v>
      </c>
      <c r="C47" s="1760">
        <v>422</v>
      </c>
      <c r="D47" s="1760">
        <v>0</v>
      </c>
      <c r="E47" s="1760">
        <v>1</v>
      </c>
      <c r="F47" s="1760">
        <v>4.9000000000000004</v>
      </c>
      <c r="G47" s="1760">
        <v>8</v>
      </c>
      <c r="H47" s="1760">
        <v>13.2</v>
      </c>
      <c r="I47" s="1760">
        <v>16.2</v>
      </c>
      <c r="J47" s="1760">
        <v>18.399999999999999</v>
      </c>
      <c r="K47" s="1760">
        <v>18.100000000000001</v>
      </c>
      <c r="L47" s="1760">
        <v>13.7</v>
      </c>
      <c r="M47" s="1760">
        <v>9.5</v>
      </c>
      <c r="N47" s="1760">
        <v>3.9</v>
      </c>
      <c r="O47" s="1760">
        <v>1.4</v>
      </c>
      <c r="P47" s="1760">
        <v>9</v>
      </c>
      <c r="Q47" s="1761">
        <v>26.111111111111111</v>
      </c>
      <c r="R47" s="1761">
        <v>45</v>
      </c>
      <c r="S47" s="1761">
        <v>86.944444444444443</v>
      </c>
      <c r="T47" s="1761">
        <v>115.83333333333333</v>
      </c>
      <c r="U47" s="1761">
        <v>151.11111111111111</v>
      </c>
      <c r="V47" s="1761">
        <v>163.33333333333334</v>
      </c>
      <c r="W47" s="1761">
        <v>171.11111111111111</v>
      </c>
      <c r="X47" s="1761">
        <v>147.22222222222223</v>
      </c>
      <c r="Y47" s="1761">
        <v>99.444444444444443</v>
      </c>
      <c r="Z47" s="1761">
        <v>56.666666666666664</v>
      </c>
      <c r="AA47" s="1761">
        <v>27.222222222222221</v>
      </c>
      <c r="AB47" s="1761">
        <v>20</v>
      </c>
      <c r="AC47" s="1761">
        <v>1110.2777777777778</v>
      </c>
      <c r="AD47" s="1761">
        <v>15</v>
      </c>
      <c r="AE47" s="1761">
        <v>26.944444444444443</v>
      </c>
      <c r="AF47" s="1761">
        <v>49.166666666666664</v>
      </c>
      <c r="AG47" s="1761">
        <v>63.333333333333329</v>
      </c>
      <c r="AH47" s="1761">
        <v>80.277777777777771</v>
      </c>
      <c r="AI47" s="1761">
        <v>88.611111111111114</v>
      </c>
      <c r="AJ47" s="1761">
        <v>93.611111111111114</v>
      </c>
      <c r="AK47" s="1761">
        <v>81.944444444444443</v>
      </c>
      <c r="AL47" s="1761">
        <v>51.944444444444443</v>
      </c>
      <c r="AM47" s="1761">
        <v>27.5</v>
      </c>
      <c r="AN47" s="1761">
        <v>13.611111111111111</v>
      </c>
      <c r="AO47" s="1761">
        <v>11.111111111111111</v>
      </c>
      <c r="AP47" s="1761">
        <v>603.05555555555554</v>
      </c>
      <c r="AQ47" s="1761">
        <v>36.388888888888886</v>
      </c>
      <c r="AR47" s="1761">
        <v>59.166666666666664</v>
      </c>
      <c r="AS47" s="1761">
        <v>85.555555555555557</v>
      </c>
      <c r="AT47" s="1761">
        <v>79.166666666666671</v>
      </c>
      <c r="AU47" s="1761">
        <v>79.722222222222214</v>
      </c>
      <c r="AV47" s="1761">
        <v>76.388888888888886</v>
      </c>
      <c r="AW47" s="1761">
        <v>84.722222222222214</v>
      </c>
      <c r="AX47" s="1761">
        <v>93.611111111111114</v>
      </c>
      <c r="AY47" s="1761">
        <v>85.555555555555557</v>
      </c>
      <c r="AZ47" s="1761">
        <v>62.5</v>
      </c>
      <c r="BA47" s="1761">
        <v>33.888888888888886</v>
      </c>
      <c r="BB47" s="1761">
        <v>28.888888888888889</v>
      </c>
      <c r="BC47" s="1761">
        <v>805.83333333333326</v>
      </c>
      <c r="BD47" s="1761">
        <v>18.611111111111111</v>
      </c>
      <c r="BE47" s="1761">
        <v>32.222222222222221</v>
      </c>
      <c r="BF47" s="1761">
        <v>55</v>
      </c>
      <c r="BG47" s="1761">
        <v>64.166666666666671</v>
      </c>
      <c r="BH47" s="1761">
        <v>81.111111111111114</v>
      </c>
      <c r="BI47" s="1761">
        <v>85.555555555555557</v>
      </c>
      <c r="BJ47" s="1761">
        <v>91.388888888888886</v>
      </c>
      <c r="BK47" s="1761">
        <v>81.111111111111114</v>
      </c>
      <c r="BL47" s="1761">
        <v>60.555555555555557</v>
      </c>
      <c r="BM47" s="1761">
        <v>38.055555555555557</v>
      </c>
      <c r="BN47" s="1761">
        <v>18.055555555555554</v>
      </c>
      <c r="BO47" s="1761">
        <v>13.333333333333332</v>
      </c>
      <c r="BP47" s="1761">
        <v>639.16666666666663</v>
      </c>
      <c r="BQ47" s="1761">
        <v>11.111111111111111</v>
      </c>
      <c r="BR47" s="1761">
        <v>17.5</v>
      </c>
      <c r="BS47" s="1761">
        <v>26.666666666666664</v>
      </c>
      <c r="BT47" s="1761">
        <v>32.5</v>
      </c>
      <c r="BU47" s="1761">
        <v>43.888888888888886</v>
      </c>
      <c r="BV47" s="1761">
        <v>49.722222222222221</v>
      </c>
      <c r="BW47" s="1761">
        <v>49.722222222222221</v>
      </c>
      <c r="BX47" s="1761">
        <v>38.611111111111107</v>
      </c>
      <c r="BY47" s="1761">
        <v>27.222222222222221</v>
      </c>
      <c r="BZ47" s="1761">
        <v>17.777777777777779</v>
      </c>
      <c r="CA47" s="1761">
        <v>10</v>
      </c>
      <c r="CB47" s="1761">
        <v>8.0555555555555554</v>
      </c>
      <c r="CC47" s="1761">
        <v>333.33333333333331</v>
      </c>
    </row>
    <row r="48" spans="1:81">
      <c r="A48" s="1760" t="s">
        <v>4341</v>
      </c>
      <c r="B48" s="1760" t="s">
        <v>4340</v>
      </c>
      <c r="C48" s="1760">
        <v>1638</v>
      </c>
      <c r="D48" s="1760">
        <v>-4</v>
      </c>
      <c r="E48" s="1760">
        <v>-3.3</v>
      </c>
      <c r="F48" s="1760">
        <v>-0.1</v>
      </c>
      <c r="G48" s="1760">
        <v>2.8</v>
      </c>
      <c r="H48" s="1760">
        <v>8</v>
      </c>
      <c r="I48" s="1760">
        <v>10.8</v>
      </c>
      <c r="J48" s="1760">
        <v>13.3</v>
      </c>
      <c r="K48" s="1760">
        <v>13.1</v>
      </c>
      <c r="L48" s="1760">
        <v>9</v>
      </c>
      <c r="M48" s="1760">
        <v>5.3</v>
      </c>
      <c r="N48" s="1760">
        <v>-0.3</v>
      </c>
      <c r="O48" s="1760">
        <v>-2.8</v>
      </c>
      <c r="P48" s="1760">
        <v>4.3</v>
      </c>
      <c r="Q48" s="1761">
        <v>47.5</v>
      </c>
      <c r="R48" s="1761">
        <v>68.611111111111114</v>
      </c>
      <c r="S48" s="1761">
        <v>119.16666666666666</v>
      </c>
      <c r="T48" s="1761">
        <v>140.27777777777777</v>
      </c>
      <c r="U48" s="1761">
        <v>165.83333333333334</v>
      </c>
      <c r="V48" s="1761">
        <v>169.16666666666666</v>
      </c>
      <c r="W48" s="1761">
        <v>175.55555555555554</v>
      </c>
      <c r="X48" s="1761">
        <v>153.33333333333334</v>
      </c>
      <c r="Y48" s="1761">
        <v>116.66666666666666</v>
      </c>
      <c r="Z48" s="1761">
        <v>81.944444444444443</v>
      </c>
      <c r="AA48" s="1761">
        <v>48.333333333333329</v>
      </c>
      <c r="AB48" s="1761">
        <v>38.611111111111107</v>
      </c>
      <c r="AC48" s="1761">
        <v>1325</v>
      </c>
      <c r="AD48" s="1761">
        <v>38.055555555555557</v>
      </c>
      <c r="AE48" s="1761">
        <v>57.777777777777779</v>
      </c>
      <c r="AF48" s="1761">
        <v>92.222222222222214</v>
      </c>
      <c r="AG48" s="1761">
        <v>83.611111111111114</v>
      </c>
      <c r="AH48" s="1761">
        <v>82.5</v>
      </c>
      <c r="AI48" s="1761">
        <v>83.611111111111114</v>
      </c>
      <c r="AJ48" s="1761">
        <v>86.388888888888886</v>
      </c>
      <c r="AK48" s="1761">
        <v>77.5</v>
      </c>
      <c r="AL48" s="1761">
        <v>56.944444444444443</v>
      </c>
      <c r="AM48" s="1761">
        <v>39.444444444444443</v>
      </c>
      <c r="AN48" s="1761">
        <v>25.277777777777779</v>
      </c>
      <c r="AO48" s="1761">
        <v>27.5</v>
      </c>
      <c r="AP48" s="1761">
        <v>750.27777777777771</v>
      </c>
      <c r="AQ48" s="1761">
        <v>98.333333333333329</v>
      </c>
      <c r="AR48" s="1761">
        <v>116.94444444444444</v>
      </c>
      <c r="AS48" s="1761">
        <v>150.27777777777777</v>
      </c>
      <c r="AT48" s="1761">
        <v>109.44444444444444</v>
      </c>
      <c r="AU48" s="1761">
        <v>85.555555555555557</v>
      </c>
      <c r="AV48" s="1761">
        <v>75</v>
      </c>
      <c r="AW48" s="1761">
        <v>84.166666666666671</v>
      </c>
      <c r="AX48" s="1761">
        <v>95.277777777777771</v>
      </c>
      <c r="AY48" s="1761">
        <v>100.83333333333333</v>
      </c>
      <c r="AZ48" s="1761">
        <v>99.722222222222214</v>
      </c>
      <c r="BA48" s="1761">
        <v>80</v>
      </c>
      <c r="BB48" s="1761">
        <v>82.5</v>
      </c>
      <c r="BC48" s="1761">
        <v>1177.5</v>
      </c>
      <c r="BD48" s="1761">
        <v>46.944444444444443</v>
      </c>
      <c r="BE48" s="1761">
        <v>62.5</v>
      </c>
      <c r="BF48" s="1761">
        <v>88.611111111111114</v>
      </c>
      <c r="BG48" s="1761">
        <v>69.166666666666671</v>
      </c>
      <c r="BH48" s="1761">
        <v>58.888888888888886</v>
      </c>
      <c r="BI48" s="1761">
        <v>56.944444444444443</v>
      </c>
      <c r="BJ48" s="1761">
        <v>59.444444444444443</v>
      </c>
      <c r="BK48" s="1761">
        <v>54.444444444444443</v>
      </c>
      <c r="BL48" s="1761">
        <v>46.666666666666664</v>
      </c>
      <c r="BM48" s="1761">
        <v>38.055555555555557</v>
      </c>
      <c r="BN48" s="1761">
        <v>31.666666666666664</v>
      </c>
      <c r="BO48" s="1761">
        <v>35.833333333333336</v>
      </c>
      <c r="BP48" s="1761">
        <v>648.61111111111109</v>
      </c>
      <c r="BQ48" s="1761">
        <v>31.111111111111111</v>
      </c>
      <c r="BR48" s="1761">
        <v>43.611111111111107</v>
      </c>
      <c r="BS48" s="1761">
        <v>58.888888888888886</v>
      </c>
      <c r="BT48" s="1761">
        <v>44.722222222222221</v>
      </c>
      <c r="BU48" s="1761">
        <v>36.388888888888886</v>
      </c>
      <c r="BV48" s="1761">
        <v>35.277777777777779</v>
      </c>
      <c r="BW48" s="1761">
        <v>35</v>
      </c>
      <c r="BX48" s="1761">
        <v>30.555555555555554</v>
      </c>
      <c r="BY48" s="1761">
        <v>23.888888888888889</v>
      </c>
      <c r="BZ48" s="1761">
        <v>18.611111111111111</v>
      </c>
      <c r="CA48" s="1761">
        <v>18.055555555555554</v>
      </c>
      <c r="CB48" s="1761">
        <v>22.222222222222221</v>
      </c>
      <c r="CC48" s="1761">
        <v>398.33333333333331</v>
      </c>
    </row>
    <row r="49" spans="1:81">
      <c r="A49" s="1760" t="s">
        <v>4339</v>
      </c>
      <c r="B49" s="1760" t="s">
        <v>4338</v>
      </c>
      <c r="C49" s="1760">
        <v>425</v>
      </c>
      <c r="D49" s="1760">
        <v>0.2</v>
      </c>
      <c r="E49" s="1760">
        <v>1.3</v>
      </c>
      <c r="F49" s="1760">
        <v>5.4</v>
      </c>
      <c r="G49" s="1760">
        <v>8.5</v>
      </c>
      <c r="H49" s="1760">
        <v>13.6</v>
      </c>
      <c r="I49" s="1760">
        <v>16.5</v>
      </c>
      <c r="J49" s="1760">
        <v>18.7</v>
      </c>
      <c r="K49" s="1760">
        <v>18.5</v>
      </c>
      <c r="L49" s="1760">
        <v>14</v>
      </c>
      <c r="M49" s="1760">
        <v>9.6999999999999993</v>
      </c>
      <c r="N49" s="1760">
        <v>4.0999999999999996</v>
      </c>
      <c r="O49" s="1760">
        <v>1.7</v>
      </c>
      <c r="P49" s="1760">
        <v>9.4</v>
      </c>
      <c r="Q49" s="1761">
        <v>28.333333333333332</v>
      </c>
      <c r="R49" s="1761">
        <v>46.388888888888886</v>
      </c>
      <c r="S49" s="1761">
        <v>86.944444444444443</v>
      </c>
      <c r="T49" s="1761">
        <v>118.05555555555556</v>
      </c>
      <c r="U49" s="1761">
        <v>151.66666666666666</v>
      </c>
      <c r="V49" s="1761">
        <v>161.94444444444443</v>
      </c>
      <c r="W49" s="1761">
        <v>167.5</v>
      </c>
      <c r="X49" s="1761">
        <v>145.83333333333334</v>
      </c>
      <c r="Y49" s="1761">
        <v>98.611111111111114</v>
      </c>
      <c r="Z49" s="1761">
        <v>58.055555555555557</v>
      </c>
      <c r="AA49" s="1761">
        <v>29.444444444444443</v>
      </c>
      <c r="AB49" s="1761">
        <v>22.222222222222221</v>
      </c>
      <c r="AC49" s="1761">
        <v>1115.2777777777778</v>
      </c>
      <c r="AD49" s="1761">
        <v>18.611111111111111</v>
      </c>
      <c r="AE49" s="1761">
        <v>30.277777777777779</v>
      </c>
      <c r="AF49" s="1761">
        <v>52.777777777777779</v>
      </c>
      <c r="AG49" s="1761">
        <v>67.777777777777771</v>
      </c>
      <c r="AH49" s="1761">
        <v>84.166666666666671</v>
      </c>
      <c r="AI49" s="1761">
        <v>89.166666666666671</v>
      </c>
      <c r="AJ49" s="1761">
        <v>93.055555555555557</v>
      </c>
      <c r="AK49" s="1761">
        <v>82.5</v>
      </c>
      <c r="AL49" s="1761">
        <v>53.888888888888886</v>
      </c>
      <c r="AM49" s="1761">
        <v>29.722222222222221</v>
      </c>
      <c r="AN49" s="1761">
        <v>16.666666666666668</v>
      </c>
      <c r="AO49" s="1761">
        <v>13.333333333333332</v>
      </c>
      <c r="AP49" s="1761">
        <v>631.94444444444446</v>
      </c>
      <c r="AQ49" s="1761">
        <v>45.277777777777779</v>
      </c>
      <c r="AR49" s="1761">
        <v>65.277777777777771</v>
      </c>
      <c r="AS49" s="1761">
        <v>87.777777777777771</v>
      </c>
      <c r="AT49" s="1761">
        <v>82.777777777777771</v>
      </c>
      <c r="AU49" s="1761">
        <v>81.944444444444443</v>
      </c>
      <c r="AV49" s="1761">
        <v>76.944444444444443</v>
      </c>
      <c r="AW49" s="1761">
        <v>84.166666666666671</v>
      </c>
      <c r="AX49" s="1761">
        <v>93.611111111111114</v>
      </c>
      <c r="AY49" s="1761">
        <v>86.388888888888886</v>
      </c>
      <c r="AZ49" s="1761">
        <v>67.777777777777771</v>
      </c>
      <c r="BA49" s="1761">
        <v>41.111111111111107</v>
      </c>
      <c r="BB49" s="1761">
        <v>34.166666666666664</v>
      </c>
      <c r="BC49" s="1761">
        <v>847.22222222222217</v>
      </c>
      <c r="BD49" s="1761">
        <v>21.666666666666668</v>
      </c>
      <c r="BE49" s="1761">
        <v>34.166666666666664</v>
      </c>
      <c r="BF49" s="1761">
        <v>54.444444444444443</v>
      </c>
      <c r="BG49" s="1761">
        <v>65.555555555555557</v>
      </c>
      <c r="BH49" s="1761">
        <v>82.5</v>
      </c>
      <c r="BI49" s="1761">
        <v>86.388888888888886</v>
      </c>
      <c r="BJ49" s="1761">
        <v>92.222222222222214</v>
      </c>
      <c r="BK49" s="1761">
        <v>82.5</v>
      </c>
      <c r="BL49" s="1761">
        <v>60.555555555555557</v>
      </c>
      <c r="BM49" s="1761">
        <v>39.444444444444443</v>
      </c>
      <c r="BN49" s="1761">
        <v>20.277777777777779</v>
      </c>
      <c r="BO49" s="1761">
        <v>15.555555555555555</v>
      </c>
      <c r="BP49" s="1761">
        <v>655.27777777777771</v>
      </c>
      <c r="BQ49" s="1761">
        <v>11.944444444444445</v>
      </c>
      <c r="BR49" s="1761">
        <v>18.055555555555554</v>
      </c>
      <c r="BS49" s="1761">
        <v>26.666666666666664</v>
      </c>
      <c r="BT49" s="1761">
        <v>33.055555555555557</v>
      </c>
      <c r="BU49" s="1761">
        <v>45.277777777777779</v>
      </c>
      <c r="BV49" s="1761">
        <v>51.111111111111107</v>
      </c>
      <c r="BW49" s="1761">
        <v>50.555555555555557</v>
      </c>
      <c r="BX49" s="1761">
        <v>39.444444444444443</v>
      </c>
      <c r="BY49" s="1761">
        <v>27.222222222222221</v>
      </c>
      <c r="BZ49" s="1761">
        <v>18.611111111111111</v>
      </c>
      <c r="CA49" s="1761">
        <v>10.833333333333334</v>
      </c>
      <c r="CB49" s="1761">
        <v>8.8888888888888893</v>
      </c>
      <c r="CC49" s="1761">
        <v>342.22222222222223</v>
      </c>
    </row>
    <row r="50" spans="1:81">
      <c r="A50" s="1760" t="s">
        <v>4337</v>
      </c>
      <c r="B50" s="1760" t="s">
        <v>4336</v>
      </c>
      <c r="C50" s="1760">
        <v>556</v>
      </c>
      <c r="D50" s="1760">
        <v>0.4</v>
      </c>
      <c r="E50" s="1760">
        <v>1.6</v>
      </c>
      <c r="F50" s="1760">
        <v>5.5</v>
      </c>
      <c r="G50" s="1760">
        <v>8.4</v>
      </c>
      <c r="H50" s="1760">
        <v>13.4</v>
      </c>
      <c r="I50" s="1760">
        <v>16.2</v>
      </c>
      <c r="J50" s="1760">
        <v>18.399999999999999</v>
      </c>
      <c r="K50" s="1760">
        <v>18.399999999999999</v>
      </c>
      <c r="L50" s="1760">
        <v>14</v>
      </c>
      <c r="M50" s="1760">
        <v>9.9</v>
      </c>
      <c r="N50" s="1760">
        <v>4.2</v>
      </c>
      <c r="O50" s="1760">
        <v>1.8</v>
      </c>
      <c r="P50" s="1760">
        <v>9.4</v>
      </c>
      <c r="Q50" s="1761">
        <v>28.888888888888889</v>
      </c>
      <c r="R50" s="1761">
        <v>45.833333333333336</v>
      </c>
      <c r="S50" s="1761">
        <v>86.388888888888886</v>
      </c>
      <c r="T50" s="1761">
        <v>115.83333333333333</v>
      </c>
      <c r="U50" s="1761">
        <v>148.88888888888889</v>
      </c>
      <c r="V50" s="1761">
        <v>158.33333333333334</v>
      </c>
      <c r="W50" s="1761">
        <v>165.27777777777777</v>
      </c>
      <c r="X50" s="1761">
        <v>145</v>
      </c>
      <c r="Y50" s="1761">
        <v>98.611111111111114</v>
      </c>
      <c r="Z50" s="1761">
        <v>59.444444444444443</v>
      </c>
      <c r="AA50" s="1761">
        <v>30.277777777777779</v>
      </c>
      <c r="AB50" s="1761">
        <v>22.222222222222221</v>
      </c>
      <c r="AC50" s="1761">
        <v>1105</v>
      </c>
      <c r="AD50" s="1761">
        <v>18.611111111111111</v>
      </c>
      <c r="AE50" s="1761">
        <v>30.277777777777779</v>
      </c>
      <c r="AF50" s="1761">
        <v>51.388888888888886</v>
      </c>
      <c r="AG50" s="1761">
        <v>64.722222222222214</v>
      </c>
      <c r="AH50" s="1761">
        <v>78.055555555555557</v>
      </c>
      <c r="AI50" s="1761">
        <v>81.944444444444443</v>
      </c>
      <c r="AJ50" s="1761">
        <v>86.388888888888886</v>
      </c>
      <c r="AK50" s="1761">
        <v>79.722222222222214</v>
      </c>
      <c r="AL50" s="1761">
        <v>53.333333333333329</v>
      </c>
      <c r="AM50" s="1761">
        <v>31.111111111111111</v>
      </c>
      <c r="AN50" s="1761">
        <v>17.222222222222221</v>
      </c>
      <c r="AO50" s="1761">
        <v>14.166666666666666</v>
      </c>
      <c r="AP50" s="1761">
        <v>606.94444444444446</v>
      </c>
      <c r="AQ50" s="1761">
        <v>49.166666666666664</v>
      </c>
      <c r="AR50" s="1761">
        <v>65.277777777777771</v>
      </c>
      <c r="AS50" s="1761">
        <v>86.944444444444443</v>
      </c>
      <c r="AT50" s="1761">
        <v>80.555555555555557</v>
      </c>
      <c r="AU50" s="1761">
        <v>78.888888888888886</v>
      </c>
      <c r="AV50" s="1761">
        <v>75</v>
      </c>
      <c r="AW50" s="1761">
        <v>82.5</v>
      </c>
      <c r="AX50" s="1761">
        <v>92.222222222222214</v>
      </c>
      <c r="AY50" s="1761">
        <v>86.388888888888886</v>
      </c>
      <c r="AZ50" s="1761">
        <v>70.555555555555557</v>
      </c>
      <c r="BA50" s="1761">
        <v>43.888888888888886</v>
      </c>
      <c r="BB50" s="1761">
        <v>38.055555555555557</v>
      </c>
      <c r="BC50" s="1761">
        <v>849.44444444444446</v>
      </c>
      <c r="BD50" s="1761">
        <v>22.222222222222221</v>
      </c>
      <c r="BE50" s="1761">
        <v>34.166666666666664</v>
      </c>
      <c r="BF50" s="1761">
        <v>55</v>
      </c>
      <c r="BG50" s="1761">
        <v>64.166666666666671</v>
      </c>
      <c r="BH50" s="1761">
        <v>79.722222222222214</v>
      </c>
      <c r="BI50" s="1761">
        <v>84.166666666666671</v>
      </c>
      <c r="BJ50" s="1761">
        <v>90.833333333333329</v>
      </c>
      <c r="BK50" s="1761">
        <v>81.944444444444443</v>
      </c>
      <c r="BL50" s="1761">
        <v>60.555555555555557</v>
      </c>
      <c r="BM50" s="1761">
        <v>39.444444444444443</v>
      </c>
      <c r="BN50" s="1761">
        <v>20.833333333333332</v>
      </c>
      <c r="BO50" s="1761">
        <v>16.388888888888889</v>
      </c>
      <c r="BP50" s="1761">
        <v>649.44444444444446</v>
      </c>
      <c r="BQ50" s="1761">
        <v>11.944444444444445</v>
      </c>
      <c r="BR50" s="1761">
        <v>17.5</v>
      </c>
      <c r="BS50" s="1761">
        <v>26.111111111111111</v>
      </c>
      <c r="BT50" s="1761">
        <v>30.833333333333332</v>
      </c>
      <c r="BU50" s="1761">
        <v>41.666666666666664</v>
      </c>
      <c r="BV50" s="1761">
        <v>46.111111111111107</v>
      </c>
      <c r="BW50" s="1761">
        <v>46.111111111111107</v>
      </c>
      <c r="BX50" s="1761">
        <v>37.222222222222221</v>
      </c>
      <c r="BY50" s="1761">
        <v>25.277777777777779</v>
      </c>
      <c r="BZ50" s="1761">
        <v>17.222222222222221</v>
      </c>
      <c r="CA50" s="1761">
        <v>10.833333333333334</v>
      </c>
      <c r="CB50" s="1761">
        <v>8.8888888888888893</v>
      </c>
      <c r="CC50" s="1761">
        <v>319.44444444444446</v>
      </c>
    </row>
    <row r="53" spans="1:81">
      <c r="Q53" s="1761"/>
      <c r="R53" s="1761"/>
      <c r="S53" s="1761"/>
      <c r="T53" s="1761"/>
      <c r="U53" s="1761"/>
      <c r="V53" s="1761"/>
      <c r="W53" s="1761"/>
      <c r="X53" s="1761"/>
      <c r="Y53" s="1761"/>
      <c r="Z53" s="1761"/>
      <c r="AA53" s="1761"/>
      <c r="AB53" s="1761"/>
      <c r="AC53" s="1761"/>
      <c r="AD53" s="1761"/>
      <c r="AE53" s="1761"/>
      <c r="AF53" s="1761"/>
      <c r="AG53" s="1761"/>
      <c r="AH53" s="1761"/>
      <c r="AI53" s="1761"/>
      <c r="AJ53" s="1761"/>
      <c r="AK53" s="1761"/>
      <c r="AL53" s="1761"/>
      <c r="AM53" s="1761"/>
      <c r="AN53" s="1761"/>
      <c r="AO53" s="1761"/>
      <c r="AP53" s="1761"/>
      <c r="AQ53" s="1761"/>
      <c r="AR53" s="1761"/>
      <c r="AS53" s="1761"/>
      <c r="AT53" s="1761"/>
      <c r="AU53" s="1761"/>
      <c r="AV53" s="1761"/>
      <c r="AW53" s="1761"/>
      <c r="AX53" s="1761"/>
      <c r="AY53" s="1761"/>
      <c r="AZ53" s="1761"/>
      <c r="BA53" s="1761"/>
      <c r="BB53" s="1761"/>
      <c r="BC53" s="1761"/>
      <c r="BD53" s="1761"/>
      <c r="BE53" s="1761"/>
      <c r="BF53" s="1761"/>
      <c r="BG53" s="1761"/>
      <c r="BH53" s="1761"/>
      <c r="BI53" s="1761"/>
      <c r="BJ53" s="1761"/>
      <c r="BK53" s="1761"/>
      <c r="BL53" s="1761"/>
      <c r="BM53" s="1761"/>
      <c r="BN53" s="1761"/>
      <c r="BO53" s="1761"/>
      <c r="BP53" s="1761"/>
      <c r="BQ53" s="1761"/>
      <c r="BR53" s="1761"/>
      <c r="BS53" s="1761"/>
      <c r="BT53" s="1761"/>
      <c r="BU53" s="1761"/>
      <c r="BV53" s="1761"/>
      <c r="BW53" s="1761"/>
      <c r="BX53" s="1761"/>
      <c r="BY53" s="1761"/>
      <c r="BZ53" s="1761"/>
      <c r="CA53" s="1761"/>
      <c r="CB53" s="1761"/>
      <c r="CC53" s="1761"/>
    </row>
    <row r="54" spans="1:81">
      <c r="Q54" s="1761"/>
      <c r="R54" s="1761"/>
      <c r="S54" s="1761"/>
      <c r="T54" s="1761"/>
      <c r="U54" s="1761"/>
      <c r="V54" s="1761"/>
      <c r="W54" s="1761"/>
      <c r="X54" s="1761"/>
      <c r="Y54" s="1761"/>
      <c r="Z54" s="1761"/>
      <c r="AA54" s="1761"/>
      <c r="AB54" s="1761"/>
      <c r="AC54" s="1761"/>
      <c r="AD54" s="1761"/>
      <c r="AE54" s="1761"/>
      <c r="AF54" s="1761"/>
      <c r="AG54" s="1761"/>
      <c r="AH54" s="1761"/>
      <c r="AI54" s="1761"/>
      <c r="AJ54" s="1761"/>
      <c r="AK54" s="1761"/>
      <c r="AL54" s="1761"/>
      <c r="AM54" s="1761"/>
      <c r="AN54" s="1761"/>
      <c r="AO54" s="1761"/>
      <c r="AP54" s="1761"/>
      <c r="AQ54" s="1761"/>
      <c r="AR54" s="1761"/>
      <c r="AS54" s="1761"/>
      <c r="AT54" s="1761"/>
      <c r="AU54" s="1761"/>
      <c r="AV54" s="1761"/>
      <c r="AW54" s="1761"/>
      <c r="AX54" s="1761"/>
      <c r="AY54" s="1761"/>
      <c r="AZ54" s="1761"/>
      <c r="BA54" s="1761"/>
      <c r="BB54" s="1761"/>
      <c r="BC54" s="1761"/>
      <c r="BD54" s="1761"/>
      <c r="BE54" s="1761"/>
      <c r="BF54" s="1761"/>
      <c r="BG54" s="1761"/>
      <c r="BH54" s="1761"/>
      <c r="BI54" s="1761"/>
      <c r="BJ54" s="1761"/>
      <c r="BK54" s="1761"/>
      <c r="BL54" s="1761"/>
      <c r="BM54" s="1761"/>
      <c r="BN54" s="1761"/>
      <c r="BO54" s="1761"/>
      <c r="BP54" s="1761"/>
      <c r="BQ54" s="1761"/>
      <c r="BR54" s="1761"/>
      <c r="BS54" s="1761"/>
      <c r="BT54" s="1761"/>
      <c r="BU54" s="1761"/>
      <c r="BV54" s="1761"/>
      <c r="BW54" s="1761"/>
      <c r="BX54" s="1761"/>
      <c r="BY54" s="1761"/>
      <c r="BZ54" s="1761"/>
      <c r="CA54" s="1761"/>
      <c r="CB54" s="1761"/>
      <c r="CC54" s="1761"/>
    </row>
    <row r="55" spans="1:81">
      <c r="Q55" s="1761"/>
      <c r="R55" s="1761"/>
      <c r="S55" s="1761"/>
      <c r="T55" s="1761"/>
      <c r="U55" s="1761"/>
      <c r="V55" s="1761"/>
      <c r="W55" s="1761"/>
      <c r="X55" s="1761"/>
      <c r="Y55" s="1761"/>
      <c r="Z55" s="1761"/>
      <c r="AA55" s="1761"/>
      <c r="AB55" s="1761"/>
      <c r="AC55" s="1761"/>
      <c r="AD55" s="1761"/>
      <c r="AE55" s="1761"/>
      <c r="AF55" s="1761"/>
      <c r="AG55" s="1761"/>
      <c r="AH55" s="1761"/>
      <c r="AI55" s="1761"/>
      <c r="AJ55" s="1761"/>
      <c r="AK55" s="1761"/>
      <c r="AL55" s="1761"/>
      <c r="AM55" s="1761"/>
      <c r="AN55" s="1761"/>
      <c r="AO55" s="1761"/>
      <c r="AP55" s="1761"/>
      <c r="AQ55" s="1761"/>
      <c r="AR55" s="1761"/>
      <c r="AS55" s="1761"/>
      <c r="AT55" s="1761"/>
      <c r="AU55" s="1761"/>
      <c r="AV55" s="1761"/>
      <c r="AW55" s="1761"/>
      <c r="AX55" s="1761"/>
      <c r="AY55" s="1761"/>
      <c r="AZ55" s="1761"/>
      <c r="BA55" s="1761"/>
      <c r="BB55" s="1761"/>
      <c r="BC55" s="1761"/>
      <c r="BD55" s="1761"/>
      <c r="BE55" s="1761"/>
      <c r="BF55" s="1761"/>
      <c r="BG55" s="1761"/>
      <c r="BH55" s="1761"/>
      <c r="BI55" s="1761"/>
      <c r="BJ55" s="1761"/>
      <c r="BK55" s="1761"/>
      <c r="BL55" s="1761"/>
      <c r="BM55" s="1761"/>
      <c r="BN55" s="1761"/>
      <c r="BO55" s="1761"/>
      <c r="BP55" s="1761"/>
      <c r="BQ55" s="1761"/>
      <c r="BR55" s="1761"/>
      <c r="BS55" s="1761"/>
      <c r="BT55" s="1761"/>
      <c r="BU55" s="1761"/>
      <c r="BV55" s="1761"/>
      <c r="BW55" s="1761"/>
      <c r="BX55" s="1761"/>
      <c r="BY55" s="1761"/>
      <c r="BZ55" s="1761"/>
      <c r="CA55" s="1761"/>
      <c r="CB55" s="1761"/>
      <c r="CC55" s="1761"/>
    </row>
    <row r="56" spans="1:81">
      <c r="Q56" s="1761"/>
      <c r="R56" s="1761"/>
      <c r="S56" s="1761"/>
      <c r="T56" s="1761"/>
      <c r="U56" s="1761"/>
      <c r="V56" s="1761"/>
      <c r="W56" s="1761"/>
      <c r="X56" s="1761"/>
      <c r="Y56" s="1761"/>
      <c r="Z56" s="1761"/>
      <c r="AA56" s="1761"/>
      <c r="AB56" s="1761"/>
      <c r="AC56" s="1761"/>
      <c r="AD56" s="1761"/>
      <c r="AE56" s="1761"/>
      <c r="AF56" s="1761"/>
      <c r="AG56" s="1761"/>
      <c r="AH56" s="1761"/>
      <c r="AI56" s="1761"/>
      <c r="AJ56" s="1761"/>
      <c r="AK56" s="1761"/>
      <c r="AL56" s="1761"/>
      <c r="AM56" s="1761"/>
      <c r="AN56" s="1761"/>
      <c r="AO56" s="1761"/>
      <c r="AP56" s="1761"/>
      <c r="AQ56" s="1761"/>
      <c r="AR56" s="1761"/>
      <c r="AS56" s="1761"/>
      <c r="AT56" s="1761"/>
      <c r="AU56" s="1761"/>
      <c r="AV56" s="1761"/>
      <c r="AW56" s="1761"/>
      <c r="AX56" s="1761"/>
      <c r="AY56" s="1761"/>
      <c r="AZ56" s="1761"/>
      <c r="BA56" s="1761"/>
      <c r="BB56" s="1761"/>
      <c r="BC56" s="1761"/>
      <c r="BD56" s="1761"/>
      <c r="BE56" s="1761"/>
      <c r="BF56" s="1761"/>
      <c r="BG56" s="1761"/>
      <c r="BH56" s="1761"/>
      <c r="BI56" s="1761"/>
      <c r="BJ56" s="1761"/>
      <c r="BK56" s="1761"/>
      <c r="BL56" s="1761"/>
      <c r="BM56" s="1761"/>
      <c r="BN56" s="1761"/>
      <c r="BO56" s="1761"/>
      <c r="BP56" s="1761"/>
      <c r="BQ56" s="1761"/>
      <c r="BR56" s="1761"/>
      <c r="BS56" s="1761"/>
      <c r="BT56" s="1761"/>
      <c r="BU56" s="1761"/>
      <c r="BV56" s="1761"/>
      <c r="BW56" s="1761"/>
      <c r="BX56" s="1761"/>
      <c r="BY56" s="1761"/>
      <c r="BZ56" s="1761"/>
      <c r="CA56" s="1761"/>
      <c r="CB56" s="1761"/>
      <c r="CC56" s="1761"/>
    </row>
    <row r="57" spans="1:81">
      <c r="Q57" s="1761"/>
      <c r="R57" s="1761"/>
      <c r="S57" s="1761"/>
      <c r="T57" s="1761"/>
      <c r="U57" s="1761"/>
      <c r="V57" s="1761"/>
      <c r="W57" s="1761"/>
      <c r="X57" s="1761"/>
      <c r="Y57" s="1761"/>
      <c r="Z57" s="1761"/>
      <c r="AA57" s="1761"/>
      <c r="AB57" s="1761"/>
      <c r="AC57" s="1761"/>
      <c r="AD57" s="1761"/>
      <c r="AE57" s="1761"/>
      <c r="AF57" s="1761"/>
      <c r="AG57" s="1761"/>
      <c r="AH57" s="1761"/>
      <c r="AI57" s="1761"/>
      <c r="AJ57" s="1761"/>
      <c r="AK57" s="1761"/>
      <c r="AL57" s="1761"/>
      <c r="AM57" s="1761"/>
      <c r="AN57" s="1761"/>
      <c r="AO57" s="1761"/>
      <c r="AP57" s="1761"/>
      <c r="AQ57" s="1761"/>
      <c r="AR57" s="1761"/>
      <c r="AS57" s="1761"/>
      <c r="AT57" s="1761"/>
      <c r="AU57" s="1761"/>
      <c r="AV57" s="1761"/>
      <c r="AW57" s="1761"/>
      <c r="AX57" s="1761"/>
      <c r="AY57" s="1761"/>
      <c r="AZ57" s="1761"/>
      <c r="BA57" s="1761"/>
      <c r="BB57" s="1761"/>
      <c r="BC57" s="1761"/>
      <c r="BD57" s="1761"/>
      <c r="BE57" s="1761"/>
      <c r="BF57" s="1761"/>
      <c r="BG57" s="1761"/>
      <c r="BH57" s="1761"/>
      <c r="BI57" s="1761"/>
      <c r="BJ57" s="1761"/>
      <c r="BK57" s="1761"/>
      <c r="BL57" s="1761"/>
      <c r="BM57" s="1761"/>
      <c r="BN57" s="1761"/>
      <c r="BO57" s="1761"/>
      <c r="BP57" s="1761"/>
      <c r="BQ57" s="1761"/>
      <c r="BR57" s="1761"/>
      <c r="BS57" s="1761"/>
      <c r="BT57" s="1761"/>
      <c r="BU57" s="1761"/>
      <c r="BV57" s="1761"/>
      <c r="BW57" s="1761"/>
      <c r="BX57" s="1761"/>
      <c r="BY57" s="1761"/>
      <c r="BZ57" s="1761"/>
      <c r="CA57" s="1761"/>
      <c r="CB57" s="1761"/>
      <c r="CC57" s="1761"/>
    </row>
    <row r="58" spans="1:81">
      <c r="Q58" s="1761"/>
      <c r="R58" s="1761"/>
      <c r="S58" s="1761"/>
      <c r="T58" s="1761"/>
      <c r="U58" s="1761"/>
      <c r="V58" s="1761"/>
      <c r="W58" s="1761"/>
      <c r="X58" s="1761"/>
      <c r="Y58" s="1761"/>
      <c r="Z58" s="1761"/>
      <c r="AA58" s="1761"/>
      <c r="AB58" s="1761"/>
      <c r="AC58" s="1761"/>
      <c r="AD58" s="1761"/>
      <c r="AE58" s="1761"/>
      <c r="AF58" s="1761"/>
      <c r="AG58" s="1761"/>
      <c r="AH58" s="1761"/>
      <c r="AI58" s="1761"/>
      <c r="AJ58" s="1761"/>
      <c r="AK58" s="1761"/>
      <c r="AL58" s="1761"/>
      <c r="AM58" s="1761"/>
      <c r="AN58" s="1761"/>
      <c r="AO58" s="1761"/>
      <c r="AP58" s="1761"/>
      <c r="AQ58" s="1761"/>
      <c r="AR58" s="1761"/>
      <c r="AS58" s="1761"/>
      <c r="AT58" s="1761"/>
      <c r="AU58" s="1761"/>
      <c r="AV58" s="1761"/>
      <c r="AW58" s="1761"/>
      <c r="AX58" s="1761"/>
      <c r="AY58" s="1761"/>
      <c r="AZ58" s="1761"/>
      <c r="BA58" s="1761"/>
      <c r="BB58" s="1761"/>
      <c r="BC58" s="1761"/>
      <c r="BD58" s="1761"/>
      <c r="BE58" s="1761"/>
      <c r="BF58" s="1761"/>
      <c r="BG58" s="1761"/>
      <c r="BH58" s="1761"/>
      <c r="BI58" s="1761"/>
      <c r="BJ58" s="1761"/>
      <c r="BK58" s="1761"/>
      <c r="BL58" s="1761"/>
      <c r="BM58" s="1761"/>
      <c r="BN58" s="1761"/>
      <c r="BO58" s="1761"/>
      <c r="BP58" s="1761"/>
      <c r="BQ58" s="1761"/>
      <c r="BR58" s="1761"/>
      <c r="BS58" s="1761"/>
      <c r="BT58" s="1761"/>
      <c r="BU58" s="1761"/>
      <c r="BV58" s="1761"/>
      <c r="BW58" s="1761"/>
      <c r="BX58" s="1761"/>
      <c r="BY58" s="1761"/>
      <c r="BZ58" s="1761"/>
      <c r="CA58" s="1761"/>
      <c r="CB58" s="1761"/>
      <c r="CC58" s="1761"/>
    </row>
    <row r="59" spans="1:81">
      <c r="Q59" s="1761"/>
      <c r="R59" s="1761"/>
      <c r="S59" s="1761"/>
      <c r="T59" s="1761"/>
      <c r="U59" s="1761"/>
      <c r="V59" s="1761"/>
      <c r="W59" s="1761"/>
      <c r="X59" s="1761"/>
      <c r="Y59" s="1761"/>
      <c r="Z59" s="1761"/>
      <c r="AA59" s="1761"/>
      <c r="AB59" s="1761"/>
      <c r="AC59" s="1761"/>
      <c r="AD59" s="1761"/>
      <c r="AE59" s="1761"/>
      <c r="AF59" s="1761"/>
      <c r="AG59" s="1761"/>
      <c r="AH59" s="1761"/>
      <c r="AI59" s="1761"/>
      <c r="AJ59" s="1761"/>
      <c r="AK59" s="1761"/>
      <c r="AL59" s="1761"/>
      <c r="AM59" s="1761"/>
      <c r="AN59" s="1761"/>
      <c r="AO59" s="1761"/>
      <c r="AP59" s="1761"/>
      <c r="AQ59" s="1761"/>
      <c r="AR59" s="1761"/>
      <c r="AS59" s="1761"/>
      <c r="AT59" s="1761"/>
      <c r="AU59" s="1761"/>
      <c r="AV59" s="1761"/>
      <c r="AW59" s="1761"/>
      <c r="AX59" s="1761"/>
      <c r="AY59" s="1761"/>
      <c r="AZ59" s="1761"/>
      <c r="BA59" s="1761"/>
      <c r="BB59" s="1761"/>
      <c r="BC59" s="1761"/>
      <c r="BD59" s="1761"/>
      <c r="BE59" s="1761"/>
      <c r="BF59" s="1761"/>
      <c r="BG59" s="1761"/>
      <c r="BH59" s="1761"/>
      <c r="BI59" s="1761"/>
      <c r="BJ59" s="1761"/>
      <c r="BK59" s="1761"/>
      <c r="BL59" s="1761"/>
      <c r="BM59" s="1761"/>
      <c r="BN59" s="1761"/>
      <c r="BO59" s="1761"/>
      <c r="BP59" s="1761"/>
      <c r="BQ59" s="1761"/>
      <c r="BR59" s="1761"/>
      <c r="BS59" s="1761"/>
      <c r="BT59" s="1761"/>
      <c r="BU59" s="1761"/>
      <c r="BV59" s="1761"/>
      <c r="BW59" s="1761"/>
      <c r="BX59" s="1761"/>
      <c r="BY59" s="1761"/>
      <c r="BZ59" s="1761"/>
      <c r="CA59" s="1761"/>
      <c r="CB59" s="1761"/>
      <c r="CC59" s="1761"/>
    </row>
    <row r="60" spans="1:81">
      <c r="Q60" s="1761"/>
      <c r="R60" s="1761"/>
      <c r="S60" s="1761"/>
      <c r="T60" s="1761"/>
      <c r="U60" s="1761"/>
      <c r="V60" s="1761"/>
      <c r="W60" s="1761"/>
      <c r="X60" s="1761"/>
      <c r="Y60" s="1761"/>
      <c r="Z60" s="1761"/>
      <c r="AA60" s="1761"/>
      <c r="AB60" s="1761"/>
      <c r="AC60" s="1761"/>
      <c r="AD60" s="1761"/>
      <c r="AE60" s="1761"/>
      <c r="AF60" s="1761"/>
      <c r="AG60" s="1761"/>
      <c r="AH60" s="1761"/>
      <c r="AI60" s="1761"/>
      <c r="AJ60" s="1761"/>
      <c r="AK60" s="1761"/>
      <c r="AL60" s="1761"/>
      <c r="AM60" s="1761"/>
      <c r="AN60" s="1761"/>
      <c r="AO60" s="1761"/>
      <c r="AP60" s="1761"/>
      <c r="AQ60" s="1761"/>
      <c r="AR60" s="1761"/>
      <c r="AS60" s="1761"/>
      <c r="AT60" s="1761"/>
      <c r="AU60" s="1761"/>
      <c r="AV60" s="1761"/>
      <c r="AW60" s="1761"/>
      <c r="AX60" s="1761"/>
      <c r="AY60" s="1761"/>
      <c r="AZ60" s="1761"/>
      <c r="BA60" s="1761"/>
      <c r="BB60" s="1761"/>
      <c r="BC60" s="1761"/>
      <c r="BD60" s="1761"/>
      <c r="BE60" s="1761"/>
      <c r="BF60" s="1761"/>
      <c r="BG60" s="1761"/>
      <c r="BH60" s="1761"/>
      <c r="BI60" s="1761"/>
      <c r="BJ60" s="1761"/>
      <c r="BK60" s="1761"/>
      <c r="BL60" s="1761"/>
      <c r="BM60" s="1761"/>
      <c r="BN60" s="1761"/>
      <c r="BO60" s="1761"/>
      <c r="BP60" s="1761"/>
      <c r="BQ60" s="1761"/>
      <c r="BR60" s="1761"/>
      <c r="BS60" s="1761"/>
      <c r="BT60" s="1761"/>
      <c r="BU60" s="1761"/>
      <c r="BV60" s="1761"/>
      <c r="BW60" s="1761"/>
      <c r="BX60" s="1761"/>
      <c r="BY60" s="1761"/>
      <c r="BZ60" s="1761"/>
      <c r="CA60" s="1761"/>
      <c r="CB60" s="1761"/>
      <c r="CC60" s="1761"/>
    </row>
    <row r="61" spans="1:81">
      <c r="Q61" s="1761"/>
      <c r="R61" s="1761"/>
      <c r="S61" s="1761"/>
      <c r="T61" s="1761"/>
      <c r="U61" s="1761"/>
      <c r="V61" s="1761"/>
      <c r="W61" s="1761"/>
      <c r="X61" s="1761"/>
      <c r="Y61" s="1761"/>
      <c r="Z61" s="1761"/>
      <c r="AA61" s="1761"/>
      <c r="AB61" s="1761"/>
      <c r="AC61" s="1761"/>
      <c r="AD61" s="1761"/>
      <c r="AE61" s="1761"/>
      <c r="AF61" s="1761"/>
      <c r="AG61" s="1761"/>
      <c r="AH61" s="1761"/>
      <c r="AI61" s="1761"/>
      <c r="AJ61" s="1761"/>
      <c r="AK61" s="1761"/>
      <c r="AL61" s="1761"/>
      <c r="AM61" s="1761"/>
      <c r="AN61" s="1761"/>
      <c r="AO61" s="1761"/>
      <c r="AP61" s="1761"/>
      <c r="AQ61" s="1761"/>
      <c r="AR61" s="1761"/>
      <c r="AS61" s="1761"/>
      <c r="AT61" s="1761"/>
      <c r="AU61" s="1761"/>
      <c r="AV61" s="1761"/>
      <c r="AW61" s="1761"/>
      <c r="AX61" s="1761"/>
      <c r="AY61" s="1761"/>
      <c r="AZ61" s="1761"/>
      <c r="BA61" s="1761"/>
      <c r="BB61" s="1761"/>
      <c r="BC61" s="1761"/>
      <c r="BD61" s="1761"/>
      <c r="BE61" s="1761"/>
      <c r="BF61" s="1761"/>
      <c r="BG61" s="1761"/>
      <c r="BH61" s="1761"/>
      <c r="BI61" s="1761"/>
      <c r="BJ61" s="1761"/>
      <c r="BK61" s="1761"/>
      <c r="BL61" s="1761"/>
      <c r="BM61" s="1761"/>
      <c r="BN61" s="1761"/>
      <c r="BO61" s="1761"/>
      <c r="BP61" s="1761"/>
      <c r="BQ61" s="1761"/>
      <c r="BR61" s="1761"/>
      <c r="BS61" s="1761"/>
      <c r="BT61" s="1761"/>
      <c r="BU61" s="1761"/>
      <c r="BV61" s="1761"/>
      <c r="BW61" s="1761"/>
      <c r="BX61" s="1761"/>
      <c r="BY61" s="1761"/>
      <c r="BZ61" s="1761"/>
      <c r="CA61" s="1761"/>
      <c r="CB61" s="1761"/>
      <c r="CC61" s="1761"/>
    </row>
    <row r="62" spans="1:81">
      <c r="Q62" s="1761"/>
      <c r="R62" s="1761"/>
      <c r="S62" s="1761"/>
      <c r="T62" s="1761"/>
      <c r="U62" s="1761"/>
      <c r="V62" s="1761"/>
      <c r="W62" s="1761"/>
      <c r="X62" s="1761"/>
      <c r="Y62" s="1761"/>
      <c r="Z62" s="1761"/>
      <c r="AA62" s="1761"/>
      <c r="AB62" s="1761"/>
      <c r="AC62" s="1761"/>
      <c r="AD62" s="1761"/>
      <c r="AE62" s="1761"/>
      <c r="AF62" s="1761"/>
      <c r="AG62" s="1761"/>
      <c r="AH62" s="1761"/>
      <c r="AI62" s="1761"/>
      <c r="AJ62" s="1761"/>
      <c r="AK62" s="1761"/>
      <c r="AL62" s="1761"/>
      <c r="AM62" s="1761"/>
      <c r="AN62" s="1761"/>
      <c r="AO62" s="1761"/>
      <c r="AP62" s="1761"/>
      <c r="AQ62" s="1761"/>
      <c r="AR62" s="1761"/>
      <c r="AS62" s="1761"/>
      <c r="AT62" s="1761"/>
      <c r="AU62" s="1761"/>
      <c r="AV62" s="1761"/>
      <c r="AW62" s="1761"/>
      <c r="AX62" s="1761"/>
      <c r="AY62" s="1761"/>
      <c r="AZ62" s="1761"/>
      <c r="BA62" s="1761"/>
      <c r="BB62" s="1761"/>
      <c r="BC62" s="1761"/>
      <c r="BD62" s="1761"/>
      <c r="BE62" s="1761"/>
      <c r="BF62" s="1761"/>
      <c r="BG62" s="1761"/>
      <c r="BH62" s="1761"/>
      <c r="BI62" s="1761"/>
      <c r="BJ62" s="1761"/>
      <c r="BK62" s="1761"/>
      <c r="BL62" s="1761"/>
      <c r="BM62" s="1761"/>
      <c r="BN62" s="1761"/>
      <c r="BO62" s="1761"/>
      <c r="BP62" s="1761"/>
      <c r="BQ62" s="1761"/>
      <c r="BR62" s="1761"/>
      <c r="BS62" s="1761"/>
      <c r="BT62" s="1761"/>
      <c r="BU62" s="1761"/>
      <c r="BV62" s="1761"/>
      <c r="BW62" s="1761"/>
      <c r="BX62" s="1761"/>
      <c r="BY62" s="1761"/>
      <c r="BZ62" s="1761"/>
      <c r="CA62" s="1761"/>
      <c r="CB62" s="1761"/>
      <c r="CC62" s="1761"/>
    </row>
    <row r="63" spans="1:81">
      <c r="Q63" s="1761"/>
      <c r="R63" s="1761"/>
      <c r="S63" s="1761"/>
      <c r="T63" s="1761"/>
      <c r="U63" s="1761"/>
      <c r="V63" s="1761"/>
      <c r="W63" s="1761"/>
      <c r="X63" s="1761"/>
      <c r="Y63" s="1761"/>
      <c r="Z63" s="1761"/>
      <c r="AA63" s="1761"/>
      <c r="AB63" s="1761"/>
      <c r="AC63" s="1761"/>
      <c r="AD63" s="1761"/>
      <c r="AE63" s="1761"/>
      <c r="AF63" s="1761"/>
      <c r="AG63" s="1761"/>
      <c r="AH63" s="1761"/>
      <c r="AI63" s="1761"/>
      <c r="AJ63" s="1761"/>
      <c r="AK63" s="1761"/>
      <c r="AL63" s="1761"/>
      <c r="AM63" s="1761"/>
      <c r="AN63" s="1761"/>
      <c r="AO63" s="1761"/>
      <c r="AP63" s="1761"/>
      <c r="AQ63" s="1761"/>
      <c r="AR63" s="1761"/>
      <c r="AS63" s="1761"/>
      <c r="AT63" s="1761"/>
      <c r="AU63" s="1761"/>
      <c r="AV63" s="1761"/>
      <c r="AW63" s="1761"/>
      <c r="AX63" s="1761"/>
      <c r="AY63" s="1761"/>
      <c r="AZ63" s="1761"/>
      <c r="BA63" s="1761"/>
      <c r="BB63" s="1761"/>
      <c r="BC63" s="1761"/>
      <c r="BD63" s="1761"/>
      <c r="BE63" s="1761"/>
      <c r="BF63" s="1761"/>
      <c r="BG63" s="1761"/>
      <c r="BH63" s="1761"/>
      <c r="BI63" s="1761"/>
      <c r="BJ63" s="1761"/>
      <c r="BK63" s="1761"/>
      <c r="BL63" s="1761"/>
      <c r="BM63" s="1761"/>
      <c r="BN63" s="1761"/>
      <c r="BO63" s="1761"/>
      <c r="BP63" s="1761"/>
      <c r="BQ63" s="1761"/>
      <c r="BR63" s="1761"/>
      <c r="BS63" s="1761"/>
      <c r="BT63" s="1761"/>
      <c r="BU63" s="1761"/>
      <c r="BV63" s="1761"/>
      <c r="BW63" s="1761"/>
      <c r="BX63" s="1761"/>
      <c r="BY63" s="1761"/>
      <c r="BZ63" s="1761"/>
      <c r="CA63" s="1761"/>
      <c r="CB63" s="1761"/>
      <c r="CC63" s="1761"/>
    </row>
    <row r="64" spans="1:81">
      <c r="Q64" s="1761"/>
      <c r="R64" s="1761"/>
      <c r="S64" s="1761"/>
      <c r="T64" s="1761"/>
      <c r="U64" s="1761"/>
      <c r="V64" s="1761"/>
      <c r="W64" s="1761"/>
      <c r="X64" s="1761"/>
      <c r="Y64" s="1761"/>
      <c r="Z64" s="1761"/>
      <c r="AA64" s="1761"/>
      <c r="AB64" s="1761"/>
      <c r="AC64" s="1761"/>
      <c r="AD64" s="1761"/>
      <c r="AE64" s="1761"/>
      <c r="AF64" s="1761"/>
      <c r="AG64" s="1761"/>
      <c r="AH64" s="1761"/>
      <c r="AI64" s="1761"/>
      <c r="AJ64" s="1761"/>
      <c r="AK64" s="1761"/>
      <c r="AL64" s="1761"/>
      <c r="AM64" s="1761"/>
      <c r="AN64" s="1761"/>
      <c r="AO64" s="1761"/>
      <c r="AP64" s="1761"/>
      <c r="AQ64" s="1761"/>
      <c r="AR64" s="1761"/>
      <c r="AS64" s="1761"/>
      <c r="AT64" s="1761"/>
      <c r="AU64" s="1761"/>
      <c r="AV64" s="1761"/>
      <c r="AW64" s="1761"/>
      <c r="AX64" s="1761"/>
      <c r="AY64" s="1761"/>
      <c r="AZ64" s="1761"/>
      <c r="BA64" s="1761"/>
      <c r="BB64" s="1761"/>
      <c r="BC64" s="1761"/>
      <c r="BD64" s="1761"/>
      <c r="BE64" s="1761"/>
      <c r="BF64" s="1761"/>
      <c r="BG64" s="1761"/>
      <c r="BH64" s="1761"/>
      <c r="BI64" s="1761"/>
      <c r="BJ64" s="1761"/>
      <c r="BK64" s="1761"/>
      <c r="BL64" s="1761"/>
      <c r="BM64" s="1761"/>
      <c r="BN64" s="1761"/>
      <c r="BO64" s="1761"/>
      <c r="BP64" s="1761"/>
      <c r="BQ64" s="1761"/>
      <c r="BR64" s="1761"/>
      <c r="BS64" s="1761"/>
      <c r="BT64" s="1761"/>
      <c r="BU64" s="1761"/>
      <c r="BV64" s="1761"/>
      <c r="BW64" s="1761"/>
      <c r="BX64" s="1761"/>
      <c r="BY64" s="1761"/>
      <c r="BZ64" s="1761"/>
      <c r="CA64" s="1761"/>
      <c r="CB64" s="1761"/>
      <c r="CC64" s="1761"/>
    </row>
    <row r="65" spans="17:81">
      <c r="Q65" s="1761"/>
      <c r="R65" s="1761"/>
      <c r="S65" s="1761"/>
      <c r="T65" s="1761"/>
      <c r="U65" s="1761"/>
      <c r="V65" s="1761"/>
      <c r="W65" s="1761"/>
      <c r="X65" s="1761"/>
      <c r="Y65" s="1761"/>
      <c r="Z65" s="1761"/>
      <c r="AA65" s="1761"/>
      <c r="AB65" s="1761"/>
      <c r="AC65" s="1761"/>
      <c r="AD65" s="1761"/>
      <c r="AE65" s="1761"/>
      <c r="AF65" s="1761"/>
      <c r="AG65" s="1761"/>
      <c r="AH65" s="1761"/>
      <c r="AI65" s="1761"/>
      <c r="AJ65" s="1761"/>
      <c r="AK65" s="1761"/>
      <c r="AL65" s="1761"/>
      <c r="AM65" s="1761"/>
      <c r="AN65" s="1761"/>
      <c r="AO65" s="1761"/>
      <c r="AP65" s="1761"/>
      <c r="AQ65" s="1761"/>
      <c r="AR65" s="1761"/>
      <c r="AS65" s="1761"/>
      <c r="AT65" s="1761"/>
      <c r="AU65" s="1761"/>
      <c r="AV65" s="1761"/>
      <c r="AW65" s="1761"/>
      <c r="AX65" s="1761"/>
      <c r="AY65" s="1761"/>
      <c r="AZ65" s="1761"/>
      <c r="BA65" s="1761"/>
      <c r="BB65" s="1761"/>
      <c r="BC65" s="1761"/>
      <c r="BD65" s="1761"/>
      <c r="BE65" s="1761"/>
      <c r="BF65" s="1761"/>
      <c r="BG65" s="1761"/>
      <c r="BH65" s="1761"/>
      <c r="BI65" s="1761"/>
      <c r="BJ65" s="1761"/>
      <c r="BK65" s="1761"/>
      <c r="BL65" s="1761"/>
      <c r="BM65" s="1761"/>
      <c r="BN65" s="1761"/>
      <c r="BO65" s="1761"/>
      <c r="BP65" s="1761"/>
      <c r="BQ65" s="1761"/>
      <c r="BR65" s="1761"/>
      <c r="BS65" s="1761"/>
      <c r="BT65" s="1761"/>
      <c r="BU65" s="1761"/>
      <c r="BV65" s="1761"/>
      <c r="BW65" s="1761"/>
      <c r="BX65" s="1761"/>
      <c r="BY65" s="1761"/>
      <c r="BZ65" s="1761"/>
      <c r="CA65" s="1761"/>
      <c r="CB65" s="1761"/>
      <c r="CC65" s="1761"/>
    </row>
    <row r="66" spans="17:81">
      <c r="Q66" s="1761"/>
      <c r="R66" s="1761"/>
      <c r="S66" s="1761"/>
      <c r="T66" s="1761"/>
      <c r="U66" s="1761"/>
      <c r="V66" s="1761"/>
      <c r="W66" s="1761"/>
      <c r="X66" s="1761"/>
      <c r="Y66" s="1761"/>
      <c r="Z66" s="1761"/>
      <c r="AA66" s="1761"/>
      <c r="AB66" s="1761"/>
      <c r="AC66" s="1761"/>
      <c r="AD66" s="1761"/>
      <c r="AE66" s="1761"/>
      <c r="AF66" s="1761"/>
      <c r="AG66" s="1761"/>
      <c r="AH66" s="1761"/>
      <c r="AI66" s="1761"/>
      <c r="AJ66" s="1761"/>
      <c r="AK66" s="1761"/>
      <c r="AL66" s="1761"/>
      <c r="AM66" s="1761"/>
      <c r="AN66" s="1761"/>
      <c r="AO66" s="1761"/>
      <c r="AP66" s="1761"/>
      <c r="AQ66" s="1761"/>
      <c r="AR66" s="1761"/>
      <c r="AS66" s="1761"/>
      <c r="AT66" s="1761"/>
      <c r="AU66" s="1761"/>
      <c r="AV66" s="1761"/>
      <c r="AW66" s="1761"/>
      <c r="AX66" s="1761"/>
      <c r="AY66" s="1761"/>
      <c r="AZ66" s="1761"/>
      <c r="BA66" s="1761"/>
      <c r="BB66" s="1761"/>
      <c r="BC66" s="1761"/>
      <c r="BD66" s="1761"/>
      <c r="BE66" s="1761"/>
      <c r="BF66" s="1761"/>
      <c r="BG66" s="1761"/>
      <c r="BH66" s="1761"/>
      <c r="BI66" s="1761"/>
      <c r="BJ66" s="1761"/>
      <c r="BK66" s="1761"/>
      <c r="BL66" s="1761"/>
      <c r="BM66" s="1761"/>
      <c r="BN66" s="1761"/>
      <c r="BO66" s="1761"/>
      <c r="BP66" s="1761"/>
      <c r="BQ66" s="1761"/>
      <c r="BR66" s="1761"/>
      <c r="BS66" s="1761"/>
      <c r="BT66" s="1761"/>
      <c r="BU66" s="1761"/>
      <c r="BV66" s="1761"/>
      <c r="BW66" s="1761"/>
      <c r="BX66" s="1761"/>
      <c r="BY66" s="1761"/>
      <c r="BZ66" s="1761"/>
      <c r="CA66" s="1761"/>
      <c r="CB66" s="1761"/>
      <c r="CC66" s="1761"/>
    </row>
    <row r="67" spans="17:81">
      <c r="Q67" s="1761"/>
      <c r="R67" s="1761"/>
      <c r="S67" s="1761"/>
      <c r="T67" s="1761"/>
      <c r="U67" s="1761"/>
      <c r="V67" s="1761"/>
      <c r="W67" s="1761"/>
      <c r="X67" s="1761"/>
      <c r="Y67" s="1761"/>
      <c r="Z67" s="1761"/>
      <c r="AA67" s="1761"/>
      <c r="AB67" s="1761"/>
      <c r="AC67" s="1761"/>
      <c r="AD67" s="1761"/>
      <c r="AE67" s="1761"/>
      <c r="AF67" s="1761"/>
      <c r="AG67" s="1761"/>
      <c r="AH67" s="1761"/>
      <c r="AI67" s="1761"/>
      <c r="AJ67" s="1761"/>
      <c r="AK67" s="1761"/>
      <c r="AL67" s="1761"/>
      <c r="AM67" s="1761"/>
      <c r="AN67" s="1761"/>
      <c r="AO67" s="1761"/>
      <c r="AP67" s="1761"/>
      <c r="AQ67" s="1761"/>
      <c r="AR67" s="1761"/>
      <c r="AS67" s="1761"/>
      <c r="AT67" s="1761"/>
      <c r="AU67" s="1761"/>
      <c r="AV67" s="1761"/>
      <c r="AW67" s="1761"/>
      <c r="AX67" s="1761"/>
      <c r="AY67" s="1761"/>
      <c r="AZ67" s="1761"/>
      <c r="BA67" s="1761"/>
      <c r="BB67" s="1761"/>
      <c r="BC67" s="1761"/>
      <c r="BD67" s="1761"/>
      <c r="BE67" s="1761"/>
      <c r="BF67" s="1761"/>
      <c r="BG67" s="1761"/>
      <c r="BH67" s="1761"/>
      <c r="BI67" s="1761"/>
      <c r="BJ67" s="1761"/>
      <c r="BK67" s="1761"/>
      <c r="BL67" s="1761"/>
      <c r="BM67" s="1761"/>
      <c r="BN67" s="1761"/>
      <c r="BO67" s="1761"/>
      <c r="BP67" s="1761"/>
      <c r="BQ67" s="1761"/>
      <c r="BR67" s="1761"/>
      <c r="BS67" s="1761"/>
      <c r="BT67" s="1761"/>
      <c r="BU67" s="1761"/>
      <c r="BV67" s="1761"/>
      <c r="BW67" s="1761"/>
      <c r="BX67" s="1761"/>
      <c r="BY67" s="1761"/>
      <c r="BZ67" s="1761"/>
      <c r="CA67" s="1761"/>
      <c r="CB67" s="1761"/>
      <c r="CC67" s="1761"/>
    </row>
    <row r="68" spans="17:81">
      <c r="Q68" s="1761"/>
      <c r="R68" s="1761"/>
      <c r="S68" s="1761"/>
      <c r="T68" s="1761"/>
      <c r="U68" s="1761"/>
      <c r="V68" s="1761"/>
      <c r="W68" s="1761"/>
      <c r="X68" s="1761"/>
      <c r="Y68" s="1761"/>
      <c r="Z68" s="1761"/>
      <c r="AA68" s="1761"/>
      <c r="AB68" s="1761"/>
      <c r="AC68" s="1761"/>
      <c r="AD68" s="1761"/>
      <c r="AE68" s="1761"/>
      <c r="AF68" s="1761"/>
      <c r="AG68" s="1761"/>
      <c r="AH68" s="1761"/>
      <c r="AI68" s="1761"/>
      <c r="AJ68" s="1761"/>
      <c r="AK68" s="1761"/>
      <c r="AL68" s="1761"/>
      <c r="AM68" s="1761"/>
      <c r="AN68" s="1761"/>
      <c r="AO68" s="1761"/>
      <c r="AP68" s="1761"/>
      <c r="AQ68" s="1761"/>
      <c r="AR68" s="1761"/>
      <c r="AS68" s="1761"/>
      <c r="AT68" s="1761"/>
      <c r="AU68" s="1761"/>
      <c r="AV68" s="1761"/>
      <c r="AW68" s="1761"/>
      <c r="AX68" s="1761"/>
      <c r="AY68" s="1761"/>
      <c r="AZ68" s="1761"/>
      <c r="BA68" s="1761"/>
      <c r="BB68" s="1761"/>
      <c r="BC68" s="1761"/>
      <c r="BD68" s="1761"/>
      <c r="BE68" s="1761"/>
      <c r="BF68" s="1761"/>
      <c r="BG68" s="1761"/>
      <c r="BH68" s="1761"/>
      <c r="BI68" s="1761"/>
      <c r="BJ68" s="1761"/>
      <c r="BK68" s="1761"/>
      <c r="BL68" s="1761"/>
      <c r="BM68" s="1761"/>
      <c r="BN68" s="1761"/>
      <c r="BO68" s="1761"/>
      <c r="BP68" s="1761"/>
      <c r="BQ68" s="1761"/>
      <c r="BR68" s="1761"/>
      <c r="BS68" s="1761"/>
      <c r="BT68" s="1761"/>
      <c r="BU68" s="1761"/>
      <c r="BV68" s="1761"/>
      <c r="BW68" s="1761"/>
      <c r="BX68" s="1761"/>
      <c r="BY68" s="1761"/>
      <c r="BZ68" s="1761"/>
      <c r="CA68" s="1761"/>
      <c r="CB68" s="1761"/>
      <c r="CC68" s="1761"/>
    </row>
    <row r="69" spans="17:81">
      <c r="Q69" s="1761"/>
      <c r="R69" s="1761"/>
      <c r="S69" s="1761"/>
      <c r="T69" s="1761"/>
      <c r="U69" s="1761"/>
      <c r="V69" s="1761"/>
      <c r="W69" s="1761"/>
      <c r="X69" s="1761"/>
      <c r="Y69" s="1761"/>
      <c r="Z69" s="1761"/>
      <c r="AA69" s="1761"/>
      <c r="AB69" s="1761"/>
      <c r="AC69" s="1761"/>
      <c r="AD69" s="1761"/>
      <c r="AE69" s="1761"/>
      <c r="AF69" s="1761"/>
      <c r="AG69" s="1761"/>
      <c r="AH69" s="1761"/>
      <c r="AI69" s="1761"/>
      <c r="AJ69" s="1761"/>
      <c r="AK69" s="1761"/>
      <c r="AL69" s="1761"/>
      <c r="AM69" s="1761"/>
      <c r="AN69" s="1761"/>
      <c r="AO69" s="1761"/>
      <c r="AP69" s="1761"/>
      <c r="AQ69" s="1761"/>
      <c r="AR69" s="1761"/>
      <c r="AS69" s="1761"/>
      <c r="AT69" s="1761"/>
      <c r="AU69" s="1761"/>
      <c r="AV69" s="1761"/>
      <c r="AW69" s="1761"/>
      <c r="AX69" s="1761"/>
      <c r="AY69" s="1761"/>
      <c r="AZ69" s="1761"/>
      <c r="BA69" s="1761"/>
      <c r="BB69" s="1761"/>
      <c r="BC69" s="1761"/>
      <c r="BD69" s="1761"/>
      <c r="BE69" s="1761"/>
      <c r="BF69" s="1761"/>
      <c r="BG69" s="1761"/>
      <c r="BH69" s="1761"/>
      <c r="BI69" s="1761"/>
      <c r="BJ69" s="1761"/>
      <c r="BK69" s="1761"/>
      <c r="BL69" s="1761"/>
      <c r="BM69" s="1761"/>
      <c r="BN69" s="1761"/>
      <c r="BO69" s="1761"/>
      <c r="BP69" s="1761"/>
      <c r="BQ69" s="1761"/>
      <c r="BR69" s="1761"/>
      <c r="BS69" s="1761"/>
      <c r="BT69" s="1761"/>
      <c r="BU69" s="1761"/>
      <c r="BV69" s="1761"/>
      <c r="BW69" s="1761"/>
      <c r="BX69" s="1761"/>
      <c r="BY69" s="1761"/>
      <c r="BZ69" s="1761"/>
      <c r="CA69" s="1761"/>
      <c r="CB69" s="1761"/>
      <c r="CC69" s="1761"/>
    </row>
    <row r="70" spans="17:81">
      <c r="Q70" s="1761"/>
      <c r="R70" s="1761"/>
      <c r="S70" s="1761"/>
      <c r="T70" s="1761"/>
      <c r="U70" s="1761"/>
      <c r="V70" s="1761"/>
      <c r="W70" s="1761"/>
      <c r="X70" s="1761"/>
      <c r="Y70" s="1761"/>
      <c r="Z70" s="1761"/>
      <c r="AA70" s="1761"/>
      <c r="AB70" s="1761"/>
      <c r="AC70" s="1761"/>
      <c r="AD70" s="1761"/>
      <c r="AE70" s="1761"/>
      <c r="AF70" s="1761"/>
      <c r="AG70" s="1761"/>
      <c r="AH70" s="1761"/>
      <c r="AI70" s="1761"/>
      <c r="AJ70" s="1761"/>
      <c r="AK70" s="1761"/>
      <c r="AL70" s="1761"/>
      <c r="AM70" s="1761"/>
      <c r="AN70" s="1761"/>
      <c r="AO70" s="1761"/>
      <c r="AP70" s="1761"/>
      <c r="AQ70" s="1761"/>
      <c r="AR70" s="1761"/>
      <c r="AS70" s="1761"/>
      <c r="AT70" s="1761"/>
      <c r="AU70" s="1761"/>
      <c r="AV70" s="1761"/>
      <c r="AW70" s="1761"/>
      <c r="AX70" s="1761"/>
      <c r="AY70" s="1761"/>
      <c r="AZ70" s="1761"/>
      <c r="BA70" s="1761"/>
      <c r="BB70" s="1761"/>
      <c r="BC70" s="1761"/>
      <c r="BD70" s="1761"/>
      <c r="BE70" s="1761"/>
      <c r="BF70" s="1761"/>
      <c r="BG70" s="1761"/>
      <c r="BH70" s="1761"/>
      <c r="BI70" s="1761"/>
      <c r="BJ70" s="1761"/>
      <c r="BK70" s="1761"/>
      <c r="BL70" s="1761"/>
      <c r="BM70" s="1761"/>
      <c r="BN70" s="1761"/>
      <c r="BO70" s="1761"/>
      <c r="BP70" s="1761"/>
      <c r="BQ70" s="1761"/>
      <c r="BR70" s="1761"/>
      <c r="BS70" s="1761"/>
      <c r="BT70" s="1761"/>
      <c r="BU70" s="1761"/>
      <c r="BV70" s="1761"/>
      <c r="BW70" s="1761"/>
      <c r="BX70" s="1761"/>
      <c r="BY70" s="1761"/>
      <c r="BZ70" s="1761"/>
      <c r="CA70" s="1761"/>
      <c r="CB70" s="1761"/>
      <c r="CC70" s="1761"/>
    </row>
    <row r="71" spans="17:81">
      <c r="Q71" s="1761"/>
      <c r="R71" s="1761"/>
      <c r="S71" s="1761"/>
      <c r="T71" s="1761"/>
      <c r="U71" s="1761"/>
      <c r="V71" s="1761"/>
      <c r="W71" s="1761"/>
      <c r="X71" s="1761"/>
      <c r="Y71" s="1761"/>
      <c r="Z71" s="1761"/>
      <c r="AA71" s="1761"/>
      <c r="AB71" s="1761"/>
      <c r="AC71" s="1761"/>
      <c r="AD71" s="1761"/>
      <c r="AE71" s="1761"/>
      <c r="AF71" s="1761"/>
      <c r="AG71" s="1761"/>
      <c r="AH71" s="1761"/>
      <c r="AI71" s="1761"/>
      <c r="AJ71" s="1761"/>
      <c r="AK71" s="1761"/>
      <c r="AL71" s="1761"/>
      <c r="AM71" s="1761"/>
      <c r="AN71" s="1761"/>
      <c r="AO71" s="1761"/>
      <c r="AP71" s="1761"/>
      <c r="AQ71" s="1761"/>
      <c r="AR71" s="1761"/>
      <c r="AS71" s="1761"/>
      <c r="AT71" s="1761"/>
      <c r="AU71" s="1761"/>
      <c r="AV71" s="1761"/>
      <c r="AW71" s="1761"/>
      <c r="AX71" s="1761"/>
      <c r="AY71" s="1761"/>
      <c r="AZ71" s="1761"/>
      <c r="BA71" s="1761"/>
      <c r="BB71" s="1761"/>
      <c r="BC71" s="1761"/>
      <c r="BD71" s="1761"/>
      <c r="BE71" s="1761"/>
      <c r="BF71" s="1761"/>
      <c r="BG71" s="1761"/>
      <c r="BH71" s="1761"/>
      <c r="BI71" s="1761"/>
      <c r="BJ71" s="1761"/>
      <c r="BK71" s="1761"/>
      <c r="BL71" s="1761"/>
      <c r="BM71" s="1761"/>
      <c r="BN71" s="1761"/>
      <c r="BO71" s="1761"/>
      <c r="BP71" s="1761"/>
      <c r="BQ71" s="1761"/>
      <c r="BR71" s="1761"/>
      <c r="BS71" s="1761"/>
      <c r="BT71" s="1761"/>
      <c r="BU71" s="1761"/>
      <c r="BV71" s="1761"/>
      <c r="BW71" s="1761"/>
      <c r="BX71" s="1761"/>
      <c r="BY71" s="1761"/>
      <c r="BZ71" s="1761"/>
      <c r="CA71" s="1761"/>
      <c r="CB71" s="1761"/>
      <c r="CC71" s="1761"/>
    </row>
    <row r="72" spans="17:81">
      <c r="Q72" s="1761"/>
      <c r="R72" s="1761"/>
      <c r="S72" s="1761"/>
      <c r="T72" s="1761"/>
      <c r="U72" s="1761"/>
      <c r="V72" s="1761"/>
      <c r="W72" s="1761"/>
      <c r="X72" s="1761"/>
      <c r="Y72" s="1761"/>
      <c r="Z72" s="1761"/>
      <c r="AA72" s="1761"/>
      <c r="AB72" s="1761"/>
      <c r="AC72" s="1761"/>
      <c r="AD72" s="1761"/>
      <c r="AE72" s="1761"/>
      <c r="AF72" s="1761"/>
      <c r="AG72" s="1761"/>
      <c r="AH72" s="1761"/>
      <c r="AI72" s="1761"/>
      <c r="AJ72" s="1761"/>
      <c r="AK72" s="1761"/>
      <c r="AL72" s="1761"/>
      <c r="AM72" s="1761"/>
      <c r="AN72" s="1761"/>
      <c r="AO72" s="1761"/>
      <c r="AP72" s="1761"/>
      <c r="AQ72" s="1761"/>
      <c r="AR72" s="1761"/>
      <c r="AS72" s="1761"/>
      <c r="AT72" s="1761"/>
      <c r="AU72" s="1761"/>
      <c r="AV72" s="1761"/>
      <c r="AW72" s="1761"/>
      <c r="AX72" s="1761"/>
      <c r="AY72" s="1761"/>
      <c r="AZ72" s="1761"/>
      <c r="BA72" s="1761"/>
      <c r="BB72" s="1761"/>
      <c r="BC72" s="1761"/>
      <c r="BD72" s="1761"/>
      <c r="BE72" s="1761"/>
      <c r="BF72" s="1761"/>
      <c r="BG72" s="1761"/>
      <c r="BH72" s="1761"/>
      <c r="BI72" s="1761"/>
      <c r="BJ72" s="1761"/>
      <c r="BK72" s="1761"/>
      <c r="BL72" s="1761"/>
      <c r="BM72" s="1761"/>
      <c r="BN72" s="1761"/>
      <c r="BO72" s="1761"/>
      <c r="BP72" s="1761"/>
      <c r="BQ72" s="1761"/>
      <c r="BR72" s="1761"/>
      <c r="BS72" s="1761"/>
      <c r="BT72" s="1761"/>
      <c r="BU72" s="1761"/>
      <c r="BV72" s="1761"/>
      <c r="BW72" s="1761"/>
      <c r="BX72" s="1761"/>
      <c r="BY72" s="1761"/>
      <c r="BZ72" s="1761"/>
      <c r="CA72" s="1761"/>
      <c r="CB72" s="1761"/>
      <c r="CC72" s="1761"/>
    </row>
    <row r="73" spans="17:81">
      <c r="Q73" s="1761"/>
      <c r="R73" s="1761"/>
      <c r="S73" s="1761"/>
      <c r="T73" s="1761"/>
      <c r="U73" s="1761"/>
      <c r="V73" s="1761"/>
      <c r="W73" s="1761"/>
      <c r="X73" s="1761"/>
      <c r="Y73" s="1761"/>
      <c r="Z73" s="1761"/>
      <c r="AA73" s="1761"/>
      <c r="AB73" s="1761"/>
      <c r="AC73" s="1761"/>
      <c r="AD73" s="1761"/>
      <c r="AE73" s="1761"/>
      <c r="AF73" s="1761"/>
      <c r="AG73" s="1761"/>
      <c r="AH73" s="1761"/>
      <c r="AI73" s="1761"/>
      <c r="AJ73" s="1761"/>
      <c r="AK73" s="1761"/>
      <c r="AL73" s="1761"/>
      <c r="AM73" s="1761"/>
      <c r="AN73" s="1761"/>
      <c r="AO73" s="1761"/>
      <c r="AP73" s="1761"/>
      <c r="AQ73" s="1761"/>
      <c r="AR73" s="1761"/>
      <c r="AS73" s="1761"/>
      <c r="AT73" s="1761"/>
      <c r="AU73" s="1761"/>
      <c r="AV73" s="1761"/>
      <c r="AW73" s="1761"/>
      <c r="AX73" s="1761"/>
      <c r="AY73" s="1761"/>
      <c r="AZ73" s="1761"/>
      <c r="BA73" s="1761"/>
      <c r="BB73" s="1761"/>
      <c r="BC73" s="1761"/>
      <c r="BD73" s="1761"/>
      <c r="BE73" s="1761"/>
      <c r="BF73" s="1761"/>
      <c r="BG73" s="1761"/>
      <c r="BH73" s="1761"/>
      <c r="BI73" s="1761"/>
      <c r="BJ73" s="1761"/>
      <c r="BK73" s="1761"/>
      <c r="BL73" s="1761"/>
      <c r="BM73" s="1761"/>
      <c r="BN73" s="1761"/>
      <c r="BO73" s="1761"/>
      <c r="BP73" s="1761"/>
      <c r="BQ73" s="1761"/>
      <c r="BR73" s="1761"/>
      <c r="BS73" s="1761"/>
      <c r="BT73" s="1761"/>
      <c r="BU73" s="1761"/>
      <c r="BV73" s="1761"/>
      <c r="BW73" s="1761"/>
      <c r="BX73" s="1761"/>
      <c r="BY73" s="1761"/>
      <c r="BZ73" s="1761"/>
      <c r="CA73" s="1761"/>
      <c r="CB73" s="1761"/>
      <c r="CC73" s="1761"/>
    </row>
    <row r="74" spans="17:81">
      <c r="Q74" s="1761"/>
      <c r="R74" s="1761"/>
      <c r="S74" s="1761"/>
      <c r="T74" s="1761"/>
      <c r="U74" s="1761"/>
      <c r="V74" s="1761"/>
      <c r="W74" s="1761"/>
      <c r="X74" s="1761"/>
      <c r="Y74" s="1761"/>
      <c r="Z74" s="1761"/>
      <c r="AA74" s="1761"/>
      <c r="AB74" s="1761"/>
      <c r="AC74" s="1761"/>
      <c r="AD74" s="1761"/>
      <c r="AE74" s="1761"/>
      <c r="AF74" s="1761"/>
      <c r="AG74" s="1761"/>
      <c r="AH74" s="1761"/>
      <c r="AI74" s="1761"/>
      <c r="AJ74" s="1761"/>
      <c r="AK74" s="1761"/>
      <c r="AL74" s="1761"/>
      <c r="AM74" s="1761"/>
      <c r="AN74" s="1761"/>
      <c r="AO74" s="1761"/>
      <c r="AP74" s="1761"/>
      <c r="AQ74" s="1761"/>
      <c r="AR74" s="1761"/>
      <c r="AS74" s="1761"/>
      <c r="AT74" s="1761"/>
      <c r="AU74" s="1761"/>
      <c r="AV74" s="1761"/>
      <c r="AW74" s="1761"/>
      <c r="AX74" s="1761"/>
      <c r="AY74" s="1761"/>
      <c r="AZ74" s="1761"/>
      <c r="BA74" s="1761"/>
      <c r="BB74" s="1761"/>
      <c r="BC74" s="1761"/>
      <c r="BD74" s="1761"/>
      <c r="BE74" s="1761"/>
      <c r="BF74" s="1761"/>
      <c r="BG74" s="1761"/>
      <c r="BH74" s="1761"/>
      <c r="BI74" s="1761"/>
      <c r="BJ74" s="1761"/>
      <c r="BK74" s="1761"/>
      <c r="BL74" s="1761"/>
      <c r="BM74" s="1761"/>
      <c r="BN74" s="1761"/>
      <c r="BO74" s="1761"/>
      <c r="BP74" s="1761"/>
      <c r="BQ74" s="1761"/>
      <c r="BR74" s="1761"/>
      <c r="BS74" s="1761"/>
      <c r="BT74" s="1761"/>
      <c r="BU74" s="1761"/>
      <c r="BV74" s="1761"/>
      <c r="BW74" s="1761"/>
      <c r="BX74" s="1761"/>
      <c r="BY74" s="1761"/>
      <c r="BZ74" s="1761"/>
      <c r="CA74" s="1761"/>
      <c r="CB74" s="1761"/>
      <c r="CC74" s="1761"/>
    </row>
    <row r="75" spans="17:81">
      <c r="Q75" s="1761"/>
      <c r="R75" s="1761"/>
      <c r="S75" s="1761"/>
      <c r="T75" s="1761"/>
      <c r="U75" s="1761"/>
      <c r="V75" s="1761"/>
      <c r="W75" s="1761"/>
      <c r="X75" s="1761"/>
      <c r="Y75" s="1761"/>
      <c r="Z75" s="1761"/>
      <c r="AA75" s="1761"/>
      <c r="AB75" s="1761"/>
      <c r="AC75" s="1761"/>
      <c r="AD75" s="1761"/>
      <c r="AE75" s="1761"/>
      <c r="AF75" s="1761"/>
      <c r="AG75" s="1761"/>
      <c r="AH75" s="1761"/>
      <c r="AI75" s="1761"/>
      <c r="AJ75" s="1761"/>
      <c r="AK75" s="1761"/>
      <c r="AL75" s="1761"/>
      <c r="AM75" s="1761"/>
      <c r="AN75" s="1761"/>
      <c r="AO75" s="1761"/>
      <c r="AP75" s="1761"/>
      <c r="AQ75" s="1761"/>
      <c r="AR75" s="1761"/>
      <c r="AS75" s="1761"/>
      <c r="AT75" s="1761"/>
      <c r="AU75" s="1761"/>
      <c r="AV75" s="1761"/>
      <c r="AW75" s="1761"/>
      <c r="AX75" s="1761"/>
      <c r="AY75" s="1761"/>
      <c r="AZ75" s="1761"/>
      <c r="BA75" s="1761"/>
      <c r="BB75" s="1761"/>
      <c r="BC75" s="1761"/>
      <c r="BD75" s="1761"/>
      <c r="BE75" s="1761"/>
      <c r="BF75" s="1761"/>
      <c r="BG75" s="1761"/>
      <c r="BH75" s="1761"/>
      <c r="BI75" s="1761"/>
      <c r="BJ75" s="1761"/>
      <c r="BK75" s="1761"/>
      <c r="BL75" s="1761"/>
      <c r="BM75" s="1761"/>
      <c r="BN75" s="1761"/>
      <c r="BO75" s="1761"/>
      <c r="BP75" s="1761"/>
      <c r="BQ75" s="1761"/>
      <c r="BR75" s="1761"/>
      <c r="BS75" s="1761"/>
      <c r="BT75" s="1761"/>
      <c r="BU75" s="1761"/>
      <c r="BV75" s="1761"/>
      <c r="BW75" s="1761"/>
      <c r="BX75" s="1761"/>
      <c r="BY75" s="1761"/>
      <c r="BZ75" s="1761"/>
      <c r="CA75" s="1761"/>
      <c r="CB75" s="1761"/>
      <c r="CC75" s="1761"/>
    </row>
    <row r="76" spans="17:81">
      <c r="Q76" s="1761"/>
      <c r="R76" s="1761"/>
      <c r="S76" s="1761"/>
      <c r="T76" s="1761"/>
      <c r="U76" s="1761"/>
      <c r="V76" s="1761"/>
      <c r="W76" s="1761"/>
      <c r="X76" s="1761"/>
      <c r="Y76" s="1761"/>
      <c r="Z76" s="1761"/>
      <c r="AA76" s="1761"/>
      <c r="AB76" s="1761"/>
      <c r="AC76" s="1761"/>
      <c r="AD76" s="1761"/>
      <c r="AE76" s="1761"/>
      <c r="AF76" s="1761"/>
      <c r="AG76" s="1761"/>
      <c r="AH76" s="1761"/>
      <c r="AI76" s="1761"/>
      <c r="AJ76" s="1761"/>
      <c r="AK76" s="1761"/>
      <c r="AL76" s="1761"/>
      <c r="AM76" s="1761"/>
      <c r="AN76" s="1761"/>
      <c r="AO76" s="1761"/>
      <c r="AP76" s="1761"/>
      <c r="AQ76" s="1761"/>
      <c r="AR76" s="1761"/>
      <c r="AS76" s="1761"/>
      <c r="AT76" s="1761"/>
      <c r="AU76" s="1761"/>
      <c r="AV76" s="1761"/>
      <c r="AW76" s="1761"/>
      <c r="AX76" s="1761"/>
      <c r="AY76" s="1761"/>
      <c r="AZ76" s="1761"/>
      <c r="BA76" s="1761"/>
      <c r="BB76" s="1761"/>
      <c r="BC76" s="1761"/>
      <c r="BD76" s="1761"/>
      <c r="BE76" s="1761"/>
      <c r="BF76" s="1761"/>
      <c r="BG76" s="1761"/>
      <c r="BH76" s="1761"/>
      <c r="BI76" s="1761"/>
      <c r="BJ76" s="1761"/>
      <c r="BK76" s="1761"/>
      <c r="BL76" s="1761"/>
      <c r="BM76" s="1761"/>
      <c r="BN76" s="1761"/>
      <c r="BO76" s="1761"/>
      <c r="BP76" s="1761"/>
      <c r="BQ76" s="1761"/>
      <c r="BR76" s="1761"/>
      <c r="BS76" s="1761"/>
      <c r="BT76" s="1761"/>
      <c r="BU76" s="1761"/>
      <c r="BV76" s="1761"/>
      <c r="BW76" s="1761"/>
      <c r="BX76" s="1761"/>
      <c r="BY76" s="1761"/>
      <c r="BZ76" s="1761"/>
      <c r="CA76" s="1761"/>
      <c r="CB76" s="1761"/>
      <c r="CC76" s="1761"/>
    </row>
    <row r="77" spans="17:81">
      <c r="Q77" s="1761"/>
      <c r="R77" s="1761"/>
      <c r="S77" s="1761"/>
      <c r="T77" s="1761"/>
      <c r="U77" s="1761"/>
      <c r="V77" s="1761"/>
      <c r="W77" s="1761"/>
      <c r="X77" s="1761"/>
      <c r="Y77" s="1761"/>
      <c r="Z77" s="1761"/>
      <c r="AA77" s="1761"/>
      <c r="AB77" s="1761"/>
      <c r="AC77" s="1761"/>
      <c r="AD77" s="1761"/>
      <c r="AE77" s="1761"/>
      <c r="AF77" s="1761"/>
      <c r="AG77" s="1761"/>
      <c r="AH77" s="1761"/>
      <c r="AI77" s="1761"/>
      <c r="AJ77" s="1761"/>
      <c r="AK77" s="1761"/>
      <c r="AL77" s="1761"/>
      <c r="AM77" s="1761"/>
      <c r="AN77" s="1761"/>
      <c r="AO77" s="1761"/>
      <c r="AP77" s="1761"/>
      <c r="AQ77" s="1761"/>
      <c r="AR77" s="1761"/>
      <c r="AS77" s="1761"/>
      <c r="AT77" s="1761"/>
      <c r="AU77" s="1761"/>
      <c r="AV77" s="1761"/>
      <c r="AW77" s="1761"/>
      <c r="AX77" s="1761"/>
      <c r="AY77" s="1761"/>
      <c r="AZ77" s="1761"/>
      <c r="BA77" s="1761"/>
      <c r="BB77" s="1761"/>
      <c r="BC77" s="1761"/>
      <c r="BD77" s="1761"/>
      <c r="BE77" s="1761"/>
      <c r="BF77" s="1761"/>
      <c r="BG77" s="1761"/>
      <c r="BH77" s="1761"/>
      <c r="BI77" s="1761"/>
      <c r="BJ77" s="1761"/>
      <c r="BK77" s="1761"/>
      <c r="BL77" s="1761"/>
      <c r="BM77" s="1761"/>
      <c r="BN77" s="1761"/>
      <c r="BO77" s="1761"/>
      <c r="BP77" s="1761"/>
      <c r="BQ77" s="1761"/>
      <c r="BR77" s="1761"/>
      <c r="BS77" s="1761"/>
      <c r="BT77" s="1761"/>
      <c r="BU77" s="1761"/>
      <c r="BV77" s="1761"/>
      <c r="BW77" s="1761"/>
      <c r="BX77" s="1761"/>
      <c r="BY77" s="1761"/>
      <c r="BZ77" s="1761"/>
      <c r="CA77" s="1761"/>
      <c r="CB77" s="1761"/>
      <c r="CC77" s="1761"/>
    </row>
    <row r="78" spans="17:81">
      <c r="Q78" s="1761"/>
      <c r="R78" s="1761"/>
      <c r="S78" s="1761"/>
      <c r="T78" s="1761"/>
      <c r="U78" s="1761"/>
      <c r="V78" s="1761"/>
      <c r="W78" s="1761"/>
      <c r="X78" s="1761"/>
      <c r="Y78" s="1761"/>
      <c r="Z78" s="1761"/>
      <c r="AA78" s="1761"/>
      <c r="AB78" s="1761"/>
      <c r="AC78" s="1761"/>
      <c r="AD78" s="1761"/>
      <c r="AE78" s="1761"/>
      <c r="AF78" s="1761"/>
      <c r="AG78" s="1761"/>
      <c r="AH78" s="1761"/>
      <c r="AI78" s="1761"/>
      <c r="AJ78" s="1761"/>
      <c r="AK78" s="1761"/>
      <c r="AL78" s="1761"/>
      <c r="AM78" s="1761"/>
      <c r="AN78" s="1761"/>
      <c r="AO78" s="1761"/>
      <c r="AP78" s="1761"/>
      <c r="AQ78" s="1761"/>
      <c r="AR78" s="1761"/>
      <c r="AS78" s="1761"/>
      <c r="AT78" s="1761"/>
      <c r="AU78" s="1761"/>
      <c r="AV78" s="1761"/>
      <c r="AW78" s="1761"/>
      <c r="AX78" s="1761"/>
      <c r="AY78" s="1761"/>
      <c r="AZ78" s="1761"/>
      <c r="BA78" s="1761"/>
      <c r="BB78" s="1761"/>
      <c r="BC78" s="1761"/>
      <c r="BD78" s="1761"/>
      <c r="BE78" s="1761"/>
      <c r="BF78" s="1761"/>
      <c r="BG78" s="1761"/>
      <c r="BH78" s="1761"/>
      <c r="BI78" s="1761"/>
      <c r="BJ78" s="1761"/>
      <c r="BK78" s="1761"/>
      <c r="BL78" s="1761"/>
      <c r="BM78" s="1761"/>
      <c r="BN78" s="1761"/>
      <c r="BO78" s="1761"/>
      <c r="BP78" s="1761"/>
      <c r="BQ78" s="1761"/>
      <c r="BR78" s="1761"/>
      <c r="BS78" s="1761"/>
      <c r="BT78" s="1761"/>
      <c r="BU78" s="1761"/>
      <c r="BV78" s="1761"/>
      <c r="BW78" s="1761"/>
      <c r="BX78" s="1761"/>
      <c r="BY78" s="1761"/>
      <c r="BZ78" s="1761"/>
      <c r="CA78" s="1761"/>
      <c r="CB78" s="1761"/>
      <c r="CC78" s="1761"/>
    </row>
    <row r="79" spans="17:81">
      <c r="Q79" s="1761"/>
      <c r="R79" s="1761"/>
      <c r="S79" s="1761"/>
      <c r="T79" s="1761"/>
      <c r="U79" s="1761"/>
      <c r="V79" s="1761"/>
      <c r="W79" s="1761"/>
      <c r="X79" s="1761"/>
      <c r="Y79" s="1761"/>
      <c r="Z79" s="1761"/>
      <c r="AA79" s="1761"/>
      <c r="AB79" s="1761"/>
      <c r="AC79" s="1761"/>
      <c r="AD79" s="1761"/>
      <c r="AE79" s="1761"/>
      <c r="AF79" s="1761"/>
      <c r="AG79" s="1761"/>
      <c r="AH79" s="1761"/>
      <c r="AI79" s="1761"/>
      <c r="AJ79" s="1761"/>
      <c r="AK79" s="1761"/>
      <c r="AL79" s="1761"/>
      <c r="AM79" s="1761"/>
      <c r="AN79" s="1761"/>
      <c r="AO79" s="1761"/>
      <c r="AP79" s="1761"/>
      <c r="AQ79" s="1761"/>
      <c r="AR79" s="1761"/>
      <c r="AS79" s="1761"/>
      <c r="AT79" s="1761"/>
      <c r="AU79" s="1761"/>
      <c r="AV79" s="1761"/>
      <c r="AW79" s="1761"/>
      <c r="AX79" s="1761"/>
      <c r="AY79" s="1761"/>
      <c r="AZ79" s="1761"/>
      <c r="BA79" s="1761"/>
      <c r="BB79" s="1761"/>
      <c r="BC79" s="1761"/>
      <c r="BD79" s="1761"/>
      <c r="BE79" s="1761"/>
      <c r="BF79" s="1761"/>
      <c r="BG79" s="1761"/>
      <c r="BH79" s="1761"/>
      <c r="BI79" s="1761"/>
      <c r="BJ79" s="1761"/>
      <c r="BK79" s="1761"/>
      <c r="BL79" s="1761"/>
      <c r="BM79" s="1761"/>
      <c r="BN79" s="1761"/>
      <c r="BO79" s="1761"/>
      <c r="BP79" s="1761"/>
      <c r="BQ79" s="1761"/>
      <c r="BR79" s="1761"/>
      <c r="BS79" s="1761"/>
      <c r="BT79" s="1761"/>
      <c r="BU79" s="1761"/>
      <c r="BV79" s="1761"/>
      <c r="BW79" s="1761"/>
      <c r="BX79" s="1761"/>
      <c r="BY79" s="1761"/>
      <c r="BZ79" s="1761"/>
      <c r="CA79" s="1761"/>
      <c r="CB79" s="1761"/>
      <c r="CC79" s="1761"/>
    </row>
    <row r="80" spans="17:81">
      <c r="Q80" s="1761"/>
      <c r="R80" s="1761"/>
      <c r="S80" s="1761"/>
      <c r="T80" s="1761"/>
      <c r="U80" s="1761"/>
      <c r="V80" s="1761"/>
      <c r="W80" s="1761"/>
      <c r="X80" s="1761"/>
      <c r="Y80" s="1761"/>
      <c r="Z80" s="1761"/>
      <c r="AA80" s="1761"/>
      <c r="AB80" s="1761"/>
      <c r="AC80" s="1761"/>
      <c r="AD80" s="1761"/>
      <c r="AE80" s="1761"/>
      <c r="AF80" s="1761"/>
      <c r="AG80" s="1761"/>
      <c r="AH80" s="1761"/>
      <c r="AI80" s="1761"/>
      <c r="AJ80" s="1761"/>
      <c r="AK80" s="1761"/>
      <c r="AL80" s="1761"/>
      <c r="AM80" s="1761"/>
      <c r="AN80" s="1761"/>
      <c r="AO80" s="1761"/>
      <c r="AP80" s="1761"/>
      <c r="AQ80" s="1761"/>
      <c r="AR80" s="1761"/>
      <c r="AS80" s="1761"/>
      <c r="AT80" s="1761"/>
      <c r="AU80" s="1761"/>
      <c r="AV80" s="1761"/>
      <c r="AW80" s="1761"/>
      <c r="AX80" s="1761"/>
      <c r="AY80" s="1761"/>
      <c r="AZ80" s="1761"/>
      <c r="BA80" s="1761"/>
      <c r="BB80" s="1761"/>
      <c r="BC80" s="1761"/>
      <c r="BD80" s="1761"/>
      <c r="BE80" s="1761"/>
      <c r="BF80" s="1761"/>
      <c r="BG80" s="1761"/>
      <c r="BH80" s="1761"/>
      <c r="BI80" s="1761"/>
      <c r="BJ80" s="1761"/>
      <c r="BK80" s="1761"/>
      <c r="BL80" s="1761"/>
      <c r="BM80" s="1761"/>
      <c r="BN80" s="1761"/>
      <c r="BO80" s="1761"/>
      <c r="BP80" s="1761"/>
      <c r="BQ80" s="1761"/>
      <c r="BR80" s="1761"/>
      <c r="BS80" s="1761"/>
      <c r="BT80" s="1761"/>
      <c r="BU80" s="1761"/>
      <c r="BV80" s="1761"/>
      <c r="BW80" s="1761"/>
      <c r="BX80" s="1761"/>
      <c r="BY80" s="1761"/>
      <c r="BZ80" s="1761"/>
      <c r="CA80" s="1761"/>
      <c r="CB80" s="1761"/>
      <c r="CC80" s="1761"/>
    </row>
    <row r="81" spans="17:81">
      <c r="Q81" s="1761"/>
      <c r="R81" s="1761"/>
      <c r="S81" s="1761"/>
      <c r="T81" s="1761"/>
      <c r="U81" s="1761"/>
      <c r="V81" s="1761"/>
      <c r="W81" s="1761"/>
      <c r="X81" s="1761"/>
      <c r="Y81" s="1761"/>
      <c r="Z81" s="1761"/>
      <c r="AA81" s="1761"/>
      <c r="AB81" s="1761"/>
      <c r="AC81" s="1761"/>
      <c r="AD81" s="1761"/>
      <c r="AE81" s="1761"/>
      <c r="AF81" s="1761"/>
      <c r="AG81" s="1761"/>
      <c r="AH81" s="1761"/>
      <c r="AI81" s="1761"/>
      <c r="AJ81" s="1761"/>
      <c r="AK81" s="1761"/>
      <c r="AL81" s="1761"/>
      <c r="AM81" s="1761"/>
      <c r="AN81" s="1761"/>
      <c r="AO81" s="1761"/>
      <c r="AP81" s="1761"/>
      <c r="AQ81" s="1761"/>
      <c r="AR81" s="1761"/>
      <c r="AS81" s="1761"/>
      <c r="AT81" s="1761"/>
      <c r="AU81" s="1761"/>
      <c r="AV81" s="1761"/>
      <c r="AW81" s="1761"/>
      <c r="AX81" s="1761"/>
      <c r="AY81" s="1761"/>
      <c r="AZ81" s="1761"/>
      <c r="BA81" s="1761"/>
      <c r="BB81" s="1761"/>
      <c r="BC81" s="1761"/>
      <c r="BD81" s="1761"/>
      <c r="BE81" s="1761"/>
      <c r="BF81" s="1761"/>
      <c r="BG81" s="1761"/>
      <c r="BH81" s="1761"/>
      <c r="BI81" s="1761"/>
      <c r="BJ81" s="1761"/>
      <c r="BK81" s="1761"/>
      <c r="BL81" s="1761"/>
      <c r="BM81" s="1761"/>
      <c r="BN81" s="1761"/>
      <c r="BO81" s="1761"/>
      <c r="BP81" s="1761"/>
      <c r="BQ81" s="1761"/>
      <c r="BR81" s="1761"/>
      <c r="BS81" s="1761"/>
      <c r="BT81" s="1761"/>
      <c r="BU81" s="1761"/>
      <c r="BV81" s="1761"/>
      <c r="BW81" s="1761"/>
      <c r="BX81" s="1761"/>
      <c r="BY81" s="1761"/>
      <c r="BZ81" s="1761"/>
      <c r="CA81" s="1761"/>
      <c r="CB81" s="1761"/>
      <c r="CC81" s="1761"/>
    </row>
    <row r="82" spans="17:81">
      <c r="Q82" s="1761"/>
      <c r="R82" s="1761"/>
      <c r="S82" s="1761"/>
      <c r="T82" s="1761"/>
      <c r="U82" s="1761"/>
      <c r="V82" s="1761"/>
      <c r="W82" s="1761"/>
      <c r="X82" s="1761"/>
      <c r="Y82" s="1761"/>
      <c r="Z82" s="1761"/>
      <c r="AA82" s="1761"/>
      <c r="AB82" s="1761"/>
      <c r="AC82" s="1761"/>
      <c r="AD82" s="1761"/>
      <c r="AE82" s="1761"/>
      <c r="AF82" s="1761"/>
      <c r="AG82" s="1761"/>
      <c r="AH82" s="1761"/>
      <c r="AI82" s="1761"/>
      <c r="AJ82" s="1761"/>
      <c r="AK82" s="1761"/>
      <c r="AL82" s="1761"/>
      <c r="AM82" s="1761"/>
      <c r="AN82" s="1761"/>
      <c r="AO82" s="1761"/>
      <c r="AP82" s="1761"/>
      <c r="AQ82" s="1761"/>
      <c r="AR82" s="1761"/>
      <c r="AS82" s="1761"/>
      <c r="AT82" s="1761"/>
      <c r="AU82" s="1761"/>
      <c r="AV82" s="1761"/>
      <c r="AW82" s="1761"/>
      <c r="AX82" s="1761"/>
      <c r="AY82" s="1761"/>
      <c r="AZ82" s="1761"/>
      <c r="BA82" s="1761"/>
      <c r="BB82" s="1761"/>
      <c r="BC82" s="1761"/>
      <c r="BD82" s="1761"/>
      <c r="BE82" s="1761"/>
      <c r="BF82" s="1761"/>
      <c r="BG82" s="1761"/>
      <c r="BH82" s="1761"/>
      <c r="BI82" s="1761"/>
      <c r="BJ82" s="1761"/>
      <c r="BK82" s="1761"/>
      <c r="BL82" s="1761"/>
      <c r="BM82" s="1761"/>
      <c r="BN82" s="1761"/>
      <c r="BO82" s="1761"/>
      <c r="BP82" s="1761"/>
      <c r="BQ82" s="1761"/>
      <c r="BR82" s="1761"/>
      <c r="BS82" s="1761"/>
      <c r="BT82" s="1761"/>
      <c r="BU82" s="1761"/>
      <c r="BV82" s="1761"/>
      <c r="BW82" s="1761"/>
      <c r="BX82" s="1761"/>
      <c r="BY82" s="1761"/>
      <c r="BZ82" s="1761"/>
      <c r="CA82" s="1761"/>
      <c r="CB82" s="1761"/>
      <c r="CC82" s="1761"/>
    </row>
    <row r="83" spans="17:81">
      <c r="Q83" s="1761"/>
      <c r="R83" s="1761"/>
      <c r="S83" s="1761"/>
      <c r="T83" s="1761"/>
      <c r="U83" s="1761"/>
      <c r="V83" s="1761"/>
      <c r="W83" s="1761"/>
      <c r="X83" s="1761"/>
      <c r="Y83" s="1761"/>
      <c r="Z83" s="1761"/>
      <c r="AA83" s="1761"/>
      <c r="AB83" s="1761"/>
      <c r="AC83" s="1761"/>
      <c r="AD83" s="1761"/>
      <c r="AE83" s="1761"/>
      <c r="AF83" s="1761"/>
      <c r="AG83" s="1761"/>
      <c r="AH83" s="1761"/>
      <c r="AI83" s="1761"/>
      <c r="AJ83" s="1761"/>
      <c r="AK83" s="1761"/>
      <c r="AL83" s="1761"/>
      <c r="AM83" s="1761"/>
      <c r="AN83" s="1761"/>
      <c r="AO83" s="1761"/>
      <c r="AP83" s="1761"/>
      <c r="AQ83" s="1761"/>
      <c r="AR83" s="1761"/>
      <c r="AS83" s="1761"/>
      <c r="AT83" s="1761"/>
      <c r="AU83" s="1761"/>
      <c r="AV83" s="1761"/>
      <c r="AW83" s="1761"/>
      <c r="AX83" s="1761"/>
      <c r="AY83" s="1761"/>
      <c r="AZ83" s="1761"/>
      <c r="BA83" s="1761"/>
      <c r="BB83" s="1761"/>
      <c r="BC83" s="1761"/>
      <c r="BD83" s="1761"/>
      <c r="BE83" s="1761"/>
      <c r="BF83" s="1761"/>
      <c r="BG83" s="1761"/>
      <c r="BH83" s="1761"/>
      <c r="BI83" s="1761"/>
      <c r="BJ83" s="1761"/>
      <c r="BK83" s="1761"/>
      <c r="BL83" s="1761"/>
      <c r="BM83" s="1761"/>
      <c r="BN83" s="1761"/>
      <c r="BO83" s="1761"/>
      <c r="BP83" s="1761"/>
      <c r="BQ83" s="1761"/>
      <c r="BR83" s="1761"/>
      <c r="BS83" s="1761"/>
      <c r="BT83" s="1761"/>
      <c r="BU83" s="1761"/>
      <c r="BV83" s="1761"/>
      <c r="BW83" s="1761"/>
      <c r="BX83" s="1761"/>
      <c r="BY83" s="1761"/>
      <c r="BZ83" s="1761"/>
      <c r="CA83" s="1761"/>
      <c r="CB83" s="1761"/>
      <c r="CC83" s="1761"/>
    </row>
    <row r="84" spans="17:81">
      <c r="Q84" s="1761"/>
      <c r="R84" s="1761"/>
      <c r="S84" s="1761"/>
      <c r="T84" s="1761"/>
      <c r="U84" s="1761"/>
      <c r="V84" s="1761"/>
      <c r="W84" s="1761"/>
      <c r="X84" s="1761"/>
      <c r="Y84" s="1761"/>
      <c r="Z84" s="1761"/>
      <c r="AA84" s="1761"/>
      <c r="AB84" s="1761"/>
      <c r="AC84" s="1761"/>
      <c r="AD84" s="1761"/>
      <c r="AE84" s="1761"/>
      <c r="AF84" s="1761"/>
      <c r="AG84" s="1761"/>
      <c r="AH84" s="1761"/>
      <c r="AI84" s="1761"/>
      <c r="AJ84" s="1761"/>
      <c r="AK84" s="1761"/>
      <c r="AL84" s="1761"/>
      <c r="AM84" s="1761"/>
      <c r="AN84" s="1761"/>
      <c r="AO84" s="1761"/>
      <c r="AP84" s="1761"/>
      <c r="AQ84" s="1761"/>
      <c r="AR84" s="1761"/>
      <c r="AS84" s="1761"/>
      <c r="AT84" s="1761"/>
      <c r="AU84" s="1761"/>
      <c r="AV84" s="1761"/>
      <c r="AW84" s="1761"/>
      <c r="AX84" s="1761"/>
      <c r="AY84" s="1761"/>
      <c r="AZ84" s="1761"/>
      <c r="BA84" s="1761"/>
      <c r="BB84" s="1761"/>
      <c r="BC84" s="1761"/>
      <c r="BD84" s="1761"/>
      <c r="BE84" s="1761"/>
      <c r="BF84" s="1761"/>
      <c r="BG84" s="1761"/>
      <c r="BH84" s="1761"/>
      <c r="BI84" s="1761"/>
      <c r="BJ84" s="1761"/>
      <c r="BK84" s="1761"/>
      <c r="BL84" s="1761"/>
      <c r="BM84" s="1761"/>
      <c r="BN84" s="1761"/>
      <c r="BO84" s="1761"/>
      <c r="BP84" s="1761"/>
      <c r="BQ84" s="1761"/>
      <c r="BR84" s="1761"/>
      <c r="BS84" s="1761"/>
      <c r="BT84" s="1761"/>
      <c r="BU84" s="1761"/>
      <c r="BV84" s="1761"/>
      <c r="BW84" s="1761"/>
      <c r="BX84" s="1761"/>
      <c r="BY84" s="1761"/>
      <c r="BZ84" s="1761"/>
      <c r="CA84" s="1761"/>
      <c r="CB84" s="1761"/>
      <c r="CC84" s="1761"/>
    </row>
    <row r="85" spans="17:81">
      <c r="Q85" s="1761"/>
      <c r="R85" s="1761"/>
      <c r="S85" s="1761"/>
      <c r="T85" s="1761"/>
      <c r="U85" s="1761"/>
      <c r="V85" s="1761"/>
      <c r="W85" s="1761"/>
      <c r="X85" s="1761"/>
      <c r="Y85" s="1761"/>
      <c r="Z85" s="1761"/>
      <c r="AA85" s="1761"/>
      <c r="AB85" s="1761"/>
      <c r="AC85" s="1761"/>
      <c r="AD85" s="1761"/>
      <c r="AE85" s="1761"/>
      <c r="AF85" s="1761"/>
      <c r="AG85" s="1761"/>
      <c r="AH85" s="1761"/>
      <c r="AI85" s="1761"/>
      <c r="AJ85" s="1761"/>
      <c r="AK85" s="1761"/>
      <c r="AL85" s="1761"/>
      <c r="AM85" s="1761"/>
      <c r="AN85" s="1761"/>
      <c r="AO85" s="1761"/>
      <c r="AP85" s="1761"/>
      <c r="AQ85" s="1761"/>
      <c r="AR85" s="1761"/>
      <c r="AS85" s="1761"/>
      <c r="AT85" s="1761"/>
      <c r="AU85" s="1761"/>
      <c r="AV85" s="1761"/>
      <c r="AW85" s="1761"/>
      <c r="AX85" s="1761"/>
      <c r="AY85" s="1761"/>
      <c r="AZ85" s="1761"/>
      <c r="BA85" s="1761"/>
      <c r="BB85" s="1761"/>
      <c r="BC85" s="1761"/>
      <c r="BD85" s="1761"/>
      <c r="BE85" s="1761"/>
      <c r="BF85" s="1761"/>
      <c r="BG85" s="1761"/>
      <c r="BH85" s="1761"/>
      <c r="BI85" s="1761"/>
      <c r="BJ85" s="1761"/>
      <c r="BK85" s="1761"/>
      <c r="BL85" s="1761"/>
      <c r="BM85" s="1761"/>
      <c r="BN85" s="1761"/>
      <c r="BO85" s="1761"/>
      <c r="BP85" s="1761"/>
      <c r="BQ85" s="1761"/>
      <c r="BR85" s="1761"/>
      <c r="BS85" s="1761"/>
      <c r="BT85" s="1761"/>
      <c r="BU85" s="1761"/>
      <c r="BV85" s="1761"/>
      <c r="BW85" s="1761"/>
      <c r="BX85" s="1761"/>
      <c r="BY85" s="1761"/>
      <c r="BZ85" s="1761"/>
      <c r="CA85" s="1761"/>
      <c r="CB85" s="1761"/>
      <c r="CC85" s="1761"/>
    </row>
    <row r="86" spans="17:81">
      <c r="Q86" s="1761"/>
      <c r="R86" s="1761"/>
      <c r="S86" s="1761"/>
      <c r="T86" s="1761"/>
      <c r="U86" s="1761"/>
      <c r="V86" s="1761"/>
      <c r="W86" s="1761"/>
      <c r="X86" s="1761"/>
      <c r="Y86" s="1761"/>
      <c r="Z86" s="1761"/>
      <c r="AA86" s="1761"/>
      <c r="AB86" s="1761"/>
      <c r="AC86" s="1761"/>
      <c r="AD86" s="1761"/>
      <c r="AE86" s="1761"/>
      <c r="AF86" s="1761"/>
      <c r="AG86" s="1761"/>
      <c r="AH86" s="1761"/>
      <c r="AI86" s="1761"/>
      <c r="AJ86" s="1761"/>
      <c r="AK86" s="1761"/>
      <c r="AL86" s="1761"/>
      <c r="AM86" s="1761"/>
      <c r="AN86" s="1761"/>
      <c r="AO86" s="1761"/>
      <c r="AP86" s="1761"/>
      <c r="AQ86" s="1761"/>
      <c r="AR86" s="1761"/>
      <c r="AS86" s="1761"/>
      <c r="AT86" s="1761"/>
      <c r="AU86" s="1761"/>
      <c r="AV86" s="1761"/>
      <c r="AW86" s="1761"/>
      <c r="AX86" s="1761"/>
      <c r="AY86" s="1761"/>
      <c r="AZ86" s="1761"/>
      <c r="BA86" s="1761"/>
      <c r="BB86" s="1761"/>
      <c r="BC86" s="1761"/>
      <c r="BD86" s="1761"/>
      <c r="BE86" s="1761"/>
      <c r="BF86" s="1761"/>
      <c r="BG86" s="1761"/>
      <c r="BH86" s="1761"/>
      <c r="BI86" s="1761"/>
      <c r="BJ86" s="1761"/>
      <c r="BK86" s="1761"/>
      <c r="BL86" s="1761"/>
      <c r="BM86" s="1761"/>
      <c r="BN86" s="1761"/>
      <c r="BO86" s="1761"/>
      <c r="BP86" s="1761"/>
      <c r="BQ86" s="1761"/>
      <c r="BR86" s="1761"/>
      <c r="BS86" s="1761"/>
      <c r="BT86" s="1761"/>
      <c r="BU86" s="1761"/>
      <c r="BV86" s="1761"/>
      <c r="BW86" s="1761"/>
      <c r="BX86" s="1761"/>
      <c r="BY86" s="1761"/>
      <c r="BZ86" s="1761"/>
      <c r="CA86" s="1761"/>
      <c r="CB86" s="1761"/>
      <c r="CC86" s="1761"/>
    </row>
    <row r="87" spans="17:81">
      <c r="Q87" s="1761"/>
      <c r="R87" s="1761"/>
      <c r="S87" s="1761"/>
      <c r="T87" s="1761"/>
      <c r="U87" s="1761"/>
      <c r="V87" s="1761"/>
      <c r="W87" s="1761"/>
      <c r="X87" s="1761"/>
      <c r="Y87" s="1761"/>
      <c r="Z87" s="1761"/>
      <c r="AA87" s="1761"/>
      <c r="AB87" s="1761"/>
      <c r="AC87" s="1761"/>
      <c r="AD87" s="1761"/>
      <c r="AE87" s="1761"/>
      <c r="AF87" s="1761"/>
      <c r="AG87" s="1761"/>
      <c r="AH87" s="1761"/>
      <c r="AI87" s="1761"/>
      <c r="AJ87" s="1761"/>
      <c r="AK87" s="1761"/>
      <c r="AL87" s="1761"/>
      <c r="AM87" s="1761"/>
      <c r="AN87" s="1761"/>
      <c r="AO87" s="1761"/>
      <c r="AP87" s="1761"/>
      <c r="AQ87" s="1761"/>
      <c r="AR87" s="1761"/>
      <c r="AS87" s="1761"/>
      <c r="AT87" s="1761"/>
      <c r="AU87" s="1761"/>
      <c r="AV87" s="1761"/>
      <c r="AW87" s="1761"/>
      <c r="AX87" s="1761"/>
      <c r="AY87" s="1761"/>
      <c r="AZ87" s="1761"/>
      <c r="BA87" s="1761"/>
      <c r="BB87" s="1761"/>
      <c r="BC87" s="1761"/>
      <c r="BD87" s="1761"/>
      <c r="BE87" s="1761"/>
      <c r="BF87" s="1761"/>
      <c r="BG87" s="1761"/>
      <c r="BH87" s="1761"/>
      <c r="BI87" s="1761"/>
      <c r="BJ87" s="1761"/>
      <c r="BK87" s="1761"/>
      <c r="BL87" s="1761"/>
      <c r="BM87" s="1761"/>
      <c r="BN87" s="1761"/>
      <c r="BO87" s="1761"/>
      <c r="BP87" s="1761"/>
      <c r="BQ87" s="1761"/>
      <c r="BR87" s="1761"/>
      <c r="BS87" s="1761"/>
      <c r="BT87" s="1761"/>
      <c r="BU87" s="1761"/>
      <c r="BV87" s="1761"/>
      <c r="BW87" s="1761"/>
      <c r="BX87" s="1761"/>
      <c r="BY87" s="1761"/>
      <c r="BZ87" s="1761"/>
      <c r="CA87" s="1761"/>
      <c r="CB87" s="1761"/>
      <c r="CC87" s="1761"/>
    </row>
    <row r="88" spans="17:81">
      <c r="Q88" s="1761"/>
      <c r="R88" s="1761"/>
      <c r="S88" s="1761"/>
      <c r="T88" s="1761"/>
      <c r="U88" s="1761"/>
      <c r="V88" s="1761"/>
      <c r="W88" s="1761"/>
      <c r="X88" s="1761"/>
      <c r="Y88" s="1761"/>
      <c r="Z88" s="1761"/>
      <c r="AA88" s="1761"/>
      <c r="AB88" s="1761"/>
      <c r="AC88" s="1761"/>
      <c r="AD88" s="1761"/>
      <c r="AE88" s="1761"/>
      <c r="AF88" s="1761"/>
      <c r="AG88" s="1761"/>
      <c r="AH88" s="1761"/>
      <c r="AI88" s="1761"/>
      <c r="AJ88" s="1761"/>
      <c r="AK88" s="1761"/>
      <c r="AL88" s="1761"/>
      <c r="AM88" s="1761"/>
      <c r="AN88" s="1761"/>
      <c r="AO88" s="1761"/>
      <c r="AP88" s="1761"/>
      <c r="AQ88" s="1761"/>
      <c r="AR88" s="1761"/>
      <c r="AS88" s="1761"/>
      <c r="AT88" s="1761"/>
      <c r="AU88" s="1761"/>
      <c r="AV88" s="1761"/>
      <c r="AW88" s="1761"/>
      <c r="AX88" s="1761"/>
      <c r="AY88" s="1761"/>
      <c r="AZ88" s="1761"/>
      <c r="BA88" s="1761"/>
      <c r="BB88" s="1761"/>
      <c r="BC88" s="1761"/>
      <c r="BD88" s="1761"/>
      <c r="BE88" s="1761"/>
      <c r="BF88" s="1761"/>
      <c r="BG88" s="1761"/>
      <c r="BH88" s="1761"/>
      <c r="BI88" s="1761"/>
      <c r="BJ88" s="1761"/>
      <c r="BK88" s="1761"/>
      <c r="BL88" s="1761"/>
      <c r="BM88" s="1761"/>
      <c r="BN88" s="1761"/>
      <c r="BO88" s="1761"/>
      <c r="BP88" s="1761"/>
      <c r="BQ88" s="1761"/>
      <c r="BR88" s="1761"/>
      <c r="BS88" s="1761"/>
      <c r="BT88" s="1761"/>
      <c r="BU88" s="1761"/>
      <c r="BV88" s="1761"/>
      <c r="BW88" s="1761"/>
      <c r="BX88" s="1761"/>
      <c r="BY88" s="1761"/>
      <c r="BZ88" s="1761"/>
      <c r="CA88" s="1761"/>
      <c r="CB88" s="1761"/>
      <c r="CC88" s="1761"/>
    </row>
    <row r="89" spans="17:81">
      <c r="Q89" s="1761"/>
      <c r="R89" s="1761"/>
      <c r="S89" s="1761"/>
      <c r="T89" s="1761"/>
      <c r="U89" s="1761"/>
      <c r="V89" s="1761"/>
      <c r="W89" s="1761"/>
      <c r="X89" s="1761"/>
      <c r="Y89" s="1761"/>
      <c r="Z89" s="1761"/>
      <c r="AA89" s="1761"/>
      <c r="AB89" s="1761"/>
      <c r="AC89" s="1761"/>
      <c r="AD89" s="1761"/>
      <c r="AE89" s="1761"/>
      <c r="AF89" s="1761"/>
      <c r="AG89" s="1761"/>
      <c r="AH89" s="1761"/>
      <c r="AI89" s="1761"/>
      <c r="AJ89" s="1761"/>
      <c r="AK89" s="1761"/>
      <c r="AL89" s="1761"/>
      <c r="AM89" s="1761"/>
      <c r="AN89" s="1761"/>
      <c r="AO89" s="1761"/>
      <c r="AP89" s="1761"/>
      <c r="AQ89" s="1761"/>
      <c r="AR89" s="1761"/>
      <c r="AS89" s="1761"/>
      <c r="AT89" s="1761"/>
      <c r="AU89" s="1761"/>
      <c r="AV89" s="1761"/>
      <c r="AW89" s="1761"/>
      <c r="AX89" s="1761"/>
      <c r="AY89" s="1761"/>
      <c r="AZ89" s="1761"/>
      <c r="BA89" s="1761"/>
      <c r="BB89" s="1761"/>
      <c r="BC89" s="1761"/>
      <c r="BD89" s="1761"/>
      <c r="BE89" s="1761"/>
      <c r="BF89" s="1761"/>
      <c r="BG89" s="1761"/>
      <c r="BH89" s="1761"/>
      <c r="BI89" s="1761"/>
      <c r="BJ89" s="1761"/>
      <c r="BK89" s="1761"/>
      <c r="BL89" s="1761"/>
      <c r="BM89" s="1761"/>
      <c r="BN89" s="1761"/>
      <c r="BO89" s="1761"/>
      <c r="BP89" s="1761"/>
      <c r="BQ89" s="1761"/>
      <c r="BR89" s="1761"/>
      <c r="BS89" s="1761"/>
      <c r="BT89" s="1761"/>
      <c r="BU89" s="1761"/>
      <c r="BV89" s="1761"/>
      <c r="BW89" s="1761"/>
      <c r="BX89" s="1761"/>
      <c r="BY89" s="1761"/>
      <c r="BZ89" s="1761"/>
      <c r="CA89" s="1761"/>
      <c r="CB89" s="1761"/>
      <c r="CC89" s="1761"/>
    </row>
    <row r="90" spans="17:81">
      <c r="Q90" s="1761"/>
      <c r="R90" s="1761"/>
      <c r="S90" s="1761"/>
      <c r="T90" s="1761"/>
      <c r="U90" s="1761"/>
      <c r="V90" s="1761"/>
      <c r="W90" s="1761"/>
      <c r="X90" s="1761"/>
      <c r="Y90" s="1761"/>
      <c r="Z90" s="1761"/>
      <c r="AA90" s="1761"/>
      <c r="AB90" s="1761"/>
      <c r="AC90" s="1761"/>
      <c r="AD90" s="1761"/>
      <c r="AE90" s="1761"/>
      <c r="AF90" s="1761"/>
      <c r="AG90" s="1761"/>
      <c r="AH90" s="1761"/>
      <c r="AI90" s="1761"/>
      <c r="AJ90" s="1761"/>
      <c r="AK90" s="1761"/>
      <c r="AL90" s="1761"/>
      <c r="AM90" s="1761"/>
      <c r="AN90" s="1761"/>
      <c r="AO90" s="1761"/>
      <c r="AP90" s="1761"/>
      <c r="AQ90" s="1761"/>
      <c r="AR90" s="1761"/>
      <c r="AS90" s="1761"/>
      <c r="AT90" s="1761"/>
      <c r="AU90" s="1761"/>
      <c r="AV90" s="1761"/>
      <c r="AW90" s="1761"/>
      <c r="AX90" s="1761"/>
      <c r="AY90" s="1761"/>
      <c r="AZ90" s="1761"/>
      <c r="BA90" s="1761"/>
      <c r="BB90" s="1761"/>
      <c r="BC90" s="1761"/>
      <c r="BD90" s="1761"/>
      <c r="BE90" s="1761"/>
      <c r="BF90" s="1761"/>
      <c r="BG90" s="1761"/>
      <c r="BH90" s="1761"/>
      <c r="BI90" s="1761"/>
      <c r="BJ90" s="1761"/>
      <c r="BK90" s="1761"/>
      <c r="BL90" s="1761"/>
      <c r="BM90" s="1761"/>
      <c r="BN90" s="1761"/>
      <c r="BO90" s="1761"/>
      <c r="BP90" s="1761"/>
      <c r="BQ90" s="1761"/>
      <c r="BR90" s="1761"/>
      <c r="BS90" s="1761"/>
      <c r="BT90" s="1761"/>
      <c r="BU90" s="1761"/>
      <c r="BV90" s="1761"/>
      <c r="BW90" s="1761"/>
      <c r="BX90" s="1761"/>
      <c r="BY90" s="1761"/>
      <c r="BZ90" s="1761"/>
      <c r="CA90" s="1761"/>
      <c r="CB90" s="1761"/>
      <c r="CC90" s="1761"/>
    </row>
    <row r="91" spans="17:81">
      <c r="Q91" s="1761"/>
      <c r="R91" s="1761"/>
      <c r="S91" s="1761"/>
      <c r="T91" s="1761"/>
      <c r="U91" s="1761"/>
      <c r="V91" s="1761"/>
      <c r="W91" s="1761"/>
      <c r="X91" s="1761"/>
      <c r="Y91" s="1761"/>
      <c r="Z91" s="1761"/>
      <c r="AA91" s="1761"/>
      <c r="AB91" s="1761"/>
      <c r="AC91" s="1761"/>
      <c r="AD91" s="1761"/>
      <c r="AE91" s="1761"/>
      <c r="AF91" s="1761"/>
      <c r="AG91" s="1761"/>
      <c r="AH91" s="1761"/>
      <c r="AI91" s="1761"/>
      <c r="AJ91" s="1761"/>
      <c r="AK91" s="1761"/>
      <c r="AL91" s="1761"/>
      <c r="AM91" s="1761"/>
      <c r="AN91" s="1761"/>
      <c r="AO91" s="1761"/>
      <c r="AP91" s="1761"/>
      <c r="AQ91" s="1761"/>
      <c r="AR91" s="1761"/>
      <c r="AS91" s="1761"/>
      <c r="AT91" s="1761"/>
      <c r="AU91" s="1761"/>
      <c r="AV91" s="1761"/>
      <c r="AW91" s="1761"/>
      <c r="AX91" s="1761"/>
      <c r="AY91" s="1761"/>
      <c r="AZ91" s="1761"/>
      <c r="BA91" s="1761"/>
      <c r="BB91" s="1761"/>
      <c r="BC91" s="1761"/>
      <c r="BD91" s="1761"/>
      <c r="BE91" s="1761"/>
      <c r="BF91" s="1761"/>
      <c r="BG91" s="1761"/>
      <c r="BH91" s="1761"/>
      <c r="BI91" s="1761"/>
      <c r="BJ91" s="1761"/>
      <c r="BK91" s="1761"/>
      <c r="BL91" s="1761"/>
      <c r="BM91" s="1761"/>
      <c r="BN91" s="1761"/>
      <c r="BO91" s="1761"/>
      <c r="BP91" s="1761"/>
      <c r="BQ91" s="1761"/>
      <c r="BR91" s="1761"/>
      <c r="BS91" s="1761"/>
      <c r="BT91" s="1761"/>
      <c r="BU91" s="1761"/>
      <c r="BV91" s="1761"/>
      <c r="BW91" s="1761"/>
      <c r="BX91" s="1761"/>
      <c r="BY91" s="1761"/>
      <c r="BZ91" s="1761"/>
      <c r="CA91" s="1761"/>
      <c r="CB91" s="1761"/>
      <c r="CC91" s="1761"/>
    </row>
    <row r="92" spans="17:81">
      <c r="Q92" s="1761"/>
      <c r="R92" s="1761"/>
      <c r="S92" s="1761"/>
      <c r="T92" s="1761"/>
      <c r="U92" s="1761"/>
      <c r="V92" s="1761"/>
      <c r="W92" s="1761"/>
      <c r="X92" s="1761"/>
      <c r="Y92" s="1761"/>
      <c r="Z92" s="1761"/>
      <c r="AA92" s="1761"/>
      <c r="AB92" s="1761"/>
      <c r="AC92" s="1761"/>
      <c r="AD92" s="1761"/>
      <c r="AE92" s="1761"/>
      <c r="AF92" s="1761"/>
      <c r="AG92" s="1761"/>
      <c r="AH92" s="1761"/>
      <c r="AI92" s="1761"/>
      <c r="AJ92" s="1761"/>
      <c r="AK92" s="1761"/>
      <c r="AL92" s="1761"/>
      <c r="AM92" s="1761"/>
      <c r="AN92" s="1761"/>
      <c r="AO92" s="1761"/>
      <c r="AP92" s="1761"/>
      <c r="AQ92" s="1761"/>
      <c r="AR92" s="1761"/>
      <c r="AS92" s="1761"/>
      <c r="AT92" s="1761"/>
      <c r="AU92" s="1761"/>
      <c r="AV92" s="1761"/>
      <c r="AW92" s="1761"/>
      <c r="AX92" s="1761"/>
      <c r="AY92" s="1761"/>
      <c r="AZ92" s="1761"/>
      <c r="BA92" s="1761"/>
      <c r="BB92" s="1761"/>
      <c r="BC92" s="1761"/>
      <c r="BD92" s="1761"/>
      <c r="BE92" s="1761"/>
      <c r="BF92" s="1761"/>
      <c r="BG92" s="1761"/>
      <c r="BH92" s="1761"/>
      <c r="BI92" s="1761"/>
      <c r="BJ92" s="1761"/>
      <c r="BK92" s="1761"/>
      <c r="BL92" s="1761"/>
      <c r="BM92" s="1761"/>
      <c r="BN92" s="1761"/>
      <c r="BO92" s="1761"/>
      <c r="BP92" s="1761"/>
      <c r="BQ92" s="1761"/>
      <c r="BR92" s="1761"/>
      <c r="BS92" s="1761"/>
      <c r="BT92" s="1761"/>
      <c r="BU92" s="1761"/>
      <c r="BV92" s="1761"/>
      <c r="BW92" s="1761"/>
      <c r="BX92" s="1761"/>
      <c r="BY92" s="1761"/>
      <c r="BZ92" s="1761"/>
      <c r="CA92" s="1761"/>
      <c r="CB92" s="1761"/>
      <c r="CC92" s="176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1E74-0061-438B-9777-EEBEB04E008C}">
  <sheetPr>
    <tabColor rgb="FF92D050"/>
  </sheetPr>
  <dimension ref="A1:B138"/>
  <sheetViews>
    <sheetView workbookViewId="0">
      <selection activeCell="C27" sqref="C27"/>
    </sheetView>
  </sheetViews>
  <sheetFormatPr baseColWidth="10" defaultRowHeight="15.75"/>
  <cols>
    <col min="1" max="1" width="61.25" style="1294" bestFit="1" customWidth="1"/>
    <col min="2" max="2" width="36.25" style="252" customWidth="1"/>
  </cols>
  <sheetData>
    <row r="1" spans="1:2" s="1387" customFormat="1" ht="18.75">
      <c r="A1" s="1386"/>
      <c r="B1" s="1391"/>
    </row>
    <row r="2" spans="1:2">
      <c r="A2" s="1350" t="s">
        <v>3865</v>
      </c>
      <c r="B2" s="252" t="str" cm="1">
        <f t="array" aca="1" ref="B2" ca="1">RIGHT(LEFT(CELL("nomfichier",A1),FIND("]",CELL("nomfichier",A1),1)-1),FIND("]",CELL("nomfichier",A1),1)-FIND("[",CELL("nomfichier",A1),1)-1)</f>
        <v>SIMPLIBAT_v3.0.xlsx</v>
      </c>
    </row>
    <row r="3" spans="1:2">
      <c r="A3" s="1350" t="s">
        <v>3866</v>
      </c>
      <c r="B3" s="252" t="str">
        <f>'Outil simplifié'!D4</f>
        <v>Exemple</v>
      </c>
    </row>
    <row r="4" spans="1:2">
      <c r="A4" s="1350" t="s">
        <v>3867</v>
      </c>
      <c r="B4" s="1368">
        <f ca="1">'Outil simplifié'!M4</f>
        <v>45897</v>
      </c>
    </row>
    <row r="5" spans="1:2">
      <c r="A5" s="1350"/>
      <c r="B5" s="252" t="str">
        <f>""</f>
        <v/>
      </c>
    </row>
    <row r="6" spans="1:2" s="536" customFormat="1">
      <c r="A6" s="1351" t="s">
        <v>3940</v>
      </c>
      <c r="B6" s="1385" t="str">
        <f>""</f>
        <v/>
      </c>
    </row>
    <row r="7" spans="1:2">
      <c r="A7" t="s">
        <v>3942</v>
      </c>
      <c r="B7" s="252">
        <f ca="1">'Outil simplifié'!D54</f>
        <v>12.979463498362644</v>
      </c>
    </row>
    <row r="8" spans="1:2">
      <c r="A8" t="s">
        <v>3943</v>
      </c>
      <c r="B8" s="252">
        <f>'Outil simplifié'!D55</f>
        <v>5.5437564740781333</v>
      </c>
    </row>
    <row r="9" spans="1:2">
      <c r="A9" t="s">
        <v>3944</v>
      </c>
      <c r="B9" s="252">
        <f ca="1">'Outil simplifié'!D56</f>
        <v>18.523219972440778</v>
      </c>
    </row>
    <row r="10" spans="1:2">
      <c r="A10" s="1393" t="s">
        <v>3785</v>
      </c>
      <c r="B10" s="252">
        <f ca="1">'Outil simplifié'!D58</f>
        <v>0</v>
      </c>
    </row>
    <row r="11" spans="1:2">
      <c r="A11" s="1294" t="s">
        <v>3945</v>
      </c>
      <c r="B11" s="252">
        <f ca="1">SUM(Graphes_Background!G3:G11)</f>
        <v>-6.8240860494278373</v>
      </c>
    </row>
    <row r="12" spans="1:2">
      <c r="A12" s="1389" t="s">
        <v>3941</v>
      </c>
      <c r="B12" s="158">
        <f ca="1">'Outil simplifié'!D73</f>
        <v>39.511224166621965</v>
      </c>
    </row>
    <row r="13" spans="1:2">
      <c r="A13" s="1294" t="s">
        <v>3869</v>
      </c>
      <c r="B13" s="158">
        <f>Exploitation!B20</f>
        <v>11007.315763216106</v>
      </c>
    </row>
    <row r="14" spans="1:2">
      <c r="A14" s="1294" t="s">
        <v>3946</v>
      </c>
      <c r="B14" s="158">
        <f>-Exploitation!D17</f>
        <v>0</v>
      </c>
    </row>
    <row r="15" spans="1:2">
      <c r="B15" s="252" t="str">
        <f>""</f>
        <v/>
      </c>
    </row>
    <row r="16" spans="1:2" s="536" customFormat="1">
      <c r="A16" s="1353" t="s">
        <v>3868</v>
      </c>
      <c r="B16" s="1385" t="str">
        <f>""</f>
        <v/>
      </c>
    </row>
    <row r="17" spans="1:2">
      <c r="A17" s="1294" t="s">
        <v>78</v>
      </c>
      <c r="B17" s="252" t="str">
        <f>'Outil simplifié'!D9</f>
        <v>Habitat collectif</v>
      </c>
    </row>
    <row r="18" spans="1:2">
      <c r="A18" s="1294" t="s">
        <v>82</v>
      </c>
      <c r="B18" s="252" t="str">
        <f>'Outil simplifié'!D10</f>
        <v>Neuf</v>
      </c>
    </row>
    <row r="19" spans="1:2">
      <c r="A19" s="1294" t="s">
        <v>86</v>
      </c>
      <c r="B19" s="252">
        <f>'Outil simplifié'!D12</f>
        <v>160</v>
      </c>
    </row>
    <row r="20" spans="1:2">
      <c r="A20" s="1352" t="s">
        <v>80</v>
      </c>
      <c r="B20" s="252" t="str">
        <f>'Outil simplifié'!J13</f>
        <v>Pompe à chaleur (géothermique)</v>
      </c>
    </row>
    <row r="21" spans="1:2">
      <c r="A21" s="1352" t="s">
        <v>89</v>
      </c>
      <c r="B21" s="252">
        <f>'Outil simplifié'!J17</f>
        <v>0</v>
      </c>
    </row>
    <row r="22" spans="1:2">
      <c r="A22" s="1294" t="s">
        <v>97</v>
      </c>
      <c r="B22" s="252">
        <f>'Outil simplifié'!J20</f>
        <v>2</v>
      </c>
    </row>
    <row r="23" spans="1:2">
      <c r="B23" s="252" t="str">
        <f>""</f>
        <v/>
      </c>
    </row>
    <row r="24" spans="1:2" s="536" customFormat="1">
      <c r="A24" s="1353" t="s">
        <v>3870</v>
      </c>
      <c r="B24" s="1385" t="str">
        <f>""</f>
        <v/>
      </c>
    </row>
    <row r="25" spans="1:2">
      <c r="A25" s="1294" t="s">
        <v>398</v>
      </c>
      <c r="B25" s="252">
        <f>Graphes_Background!E2</f>
        <v>0.3058219759911085</v>
      </c>
    </row>
    <row r="26" spans="1:2">
      <c r="A26" s="1294" t="s">
        <v>408</v>
      </c>
      <c r="B26" s="252">
        <f ca="1">Graphes_Background!E3</f>
        <v>2.6473423835102619</v>
      </c>
    </row>
    <row r="27" spans="1:2">
      <c r="A27" s="1294" t="s">
        <v>419</v>
      </c>
      <c r="B27" s="252">
        <f ca="1">Graphes_Background!E6</f>
        <v>3.3120794548126757</v>
      </c>
    </row>
    <row r="28" spans="1:2">
      <c r="A28" s="1294" t="s">
        <v>436</v>
      </c>
      <c r="B28" s="252">
        <f ca="1">Graphes_Background!E11</f>
        <v>4.5212191928118797</v>
      </c>
    </row>
    <row r="29" spans="1:2">
      <c r="A29" s="1294" t="s">
        <v>469</v>
      </c>
      <c r="B29" s="252">
        <f>Graphes_Background!E19</f>
        <v>2.1930004912367194</v>
      </c>
    </row>
    <row r="30" spans="1:2">
      <c r="B30" s="252" t="str">
        <f>""</f>
        <v/>
      </c>
    </row>
    <row r="31" spans="1:2" s="536" customFormat="1">
      <c r="A31" s="1353" t="s">
        <v>262</v>
      </c>
      <c r="B31" s="1385" t="str">
        <f>""</f>
        <v/>
      </c>
    </row>
    <row r="32" spans="1:2">
      <c r="A32" s="1294" t="s">
        <v>398</v>
      </c>
      <c r="B32" s="252">
        <f>Graphes_Background!G2</f>
        <v>0</v>
      </c>
    </row>
    <row r="33" spans="1:2">
      <c r="A33" s="1294" t="s">
        <v>408</v>
      </c>
      <c r="B33" s="252">
        <f ca="1">Graphes_Background!G3</f>
        <v>-9.9493777777777792E-2</v>
      </c>
    </row>
    <row r="34" spans="1:2">
      <c r="A34" s="1294" t="s">
        <v>419</v>
      </c>
      <c r="B34" s="252">
        <f ca="1">Graphes_Background!G6</f>
        <v>-3.8930485062333928</v>
      </c>
    </row>
    <row r="35" spans="1:2">
      <c r="A35" s="1294" t="s">
        <v>436</v>
      </c>
      <c r="B35" s="252">
        <f ca="1">Graphes_Background!G11</f>
        <v>-2.8315437654166664</v>
      </c>
    </row>
    <row r="36" spans="1:2">
      <c r="A36" s="1294" t="s">
        <v>469</v>
      </c>
      <c r="B36" s="252">
        <f>Graphes_Background!G19</f>
        <v>0</v>
      </c>
    </row>
    <row r="37" spans="1:2">
      <c r="B37" s="252" t="str">
        <f>""</f>
        <v/>
      </c>
    </row>
    <row r="38" spans="1:2" s="536" customFormat="1">
      <c r="A38" s="1353" t="s">
        <v>3872</v>
      </c>
      <c r="B38" s="1385" t="str">
        <f>""</f>
        <v/>
      </c>
    </row>
    <row r="39" spans="1:2">
      <c r="A39" s="1294" t="s">
        <v>3937</v>
      </c>
      <c r="B39" s="252">
        <f>Graphes_Background!F23</f>
        <v>2.0634324000040589</v>
      </c>
    </row>
    <row r="40" spans="1:2">
      <c r="A40" s="1294" t="s">
        <v>3799</v>
      </c>
      <c r="B40" s="252">
        <f>Graphes_Background!F24</f>
        <v>0.48032407407407407</v>
      </c>
    </row>
    <row r="41" spans="1:2">
      <c r="A41" s="1294" t="s">
        <v>3938</v>
      </c>
      <c r="B41" s="252">
        <f>SUM(Graphes_Background!F25:'Graphes_Background'!F29)</f>
        <v>3</v>
      </c>
    </row>
    <row r="42" spans="1:2">
      <c r="A42" s="1294" t="s">
        <v>264</v>
      </c>
      <c r="B42" s="252">
        <f>Graphes_Background!F30</f>
        <v>0</v>
      </c>
    </row>
    <row r="43" spans="1:2">
      <c r="B43" s="252" t="str">
        <f>""</f>
        <v/>
      </c>
    </row>
    <row r="44" spans="1:2" s="536" customFormat="1">
      <c r="A44" s="1353" t="s">
        <v>266</v>
      </c>
      <c r="B44" s="1385" t="str">
        <f>""</f>
        <v/>
      </c>
    </row>
    <row r="45" spans="1:2">
      <c r="A45" s="1294" t="s">
        <v>261</v>
      </c>
      <c r="B45" s="252">
        <f>Graphes_Background!E33</f>
        <v>9</v>
      </c>
    </row>
    <row r="46" spans="1:2">
      <c r="A46" s="1294" t="s">
        <v>46</v>
      </c>
      <c r="B46" s="252">
        <f>Graphes_Background!F33</f>
        <v>2</v>
      </c>
    </row>
    <row r="47" spans="1:2">
      <c r="A47" s="1394" t="s">
        <v>3941</v>
      </c>
      <c r="B47" s="252" t="str">
        <f>""</f>
        <v/>
      </c>
    </row>
    <row r="48" spans="1:2" s="536" customFormat="1">
      <c r="A48" s="1353" t="s">
        <v>3921</v>
      </c>
      <c r="B48" s="1385" t="str">
        <f>""</f>
        <v/>
      </c>
    </row>
    <row r="49" spans="1:2">
      <c r="A49" s="1294">
        <v>1</v>
      </c>
      <c r="B49" s="252" t="str">
        <f ca="1">'List of materials'!L3</f>
        <v>Béton pour bâtiment (sans armature)</v>
      </c>
    </row>
    <row r="50" spans="1:2">
      <c r="A50" s="1294">
        <v>2</v>
      </c>
      <c r="B50" s="252" t="str">
        <f ca="1">'List of materials'!L4</f>
        <v>Laine de roche</v>
      </c>
    </row>
    <row r="51" spans="1:2">
      <c r="A51" s="1294">
        <v>3</v>
      </c>
      <c r="B51" s="252" t="str">
        <f ca="1">'List of materials'!L5</f>
        <v>Enduit en plâtre et en ciment</v>
      </c>
    </row>
    <row r="52" spans="1:2">
      <c r="A52" s="1294">
        <v>4</v>
      </c>
      <c r="B52" s="252" t="str">
        <f ca="1">'List of materials'!L6</f>
        <v>Acier d'armature</v>
      </c>
    </row>
    <row r="53" spans="1:2">
      <c r="A53" s="1294">
        <v>5</v>
      </c>
      <c r="B53" s="252" t="str">
        <f ca="1">'List of materials'!L7</f>
        <v>Chape de ciment, 85 mm</v>
      </c>
    </row>
    <row r="54" spans="1:2">
      <c r="A54" s="1294">
        <v>6</v>
      </c>
      <c r="B54" s="252" t="str">
        <f ca="1">'List of materials'!L8</f>
        <v>Système de ventilation habitation</v>
      </c>
    </row>
    <row r="55" spans="1:2">
      <c r="A55" s="1294">
        <v>7</v>
      </c>
      <c r="B55" s="252" t="str">
        <f ca="1">'List of materials'!L9</f>
        <v>Protection solaire, stores vénitiens avec moteur 4</v>
      </c>
    </row>
    <row r="56" spans="1:2">
      <c r="A56" s="1294">
        <v>8</v>
      </c>
      <c r="B56" s="252" t="str">
        <f ca="1">'List of materials'!L10</f>
        <v>Installation électriques habitation</v>
      </c>
    </row>
    <row r="57" spans="1:2">
      <c r="A57" s="1294">
        <v>9</v>
      </c>
      <c r="B57" s="252" t="str">
        <f ca="1">'List of materials'!L11</f>
        <v>Triple vitrage, U&lt;0.6 W/m2K, épaisseur 40 mm 3</v>
      </c>
    </row>
    <row r="58" spans="1:2">
      <c r="A58" s="1294">
        <v>10</v>
      </c>
      <c r="B58" s="252" t="str">
        <f ca="1">'List of materials'!L12</f>
        <v>Installation sanitaire habitation</v>
      </c>
    </row>
    <row r="59" spans="1:2">
      <c r="B59" s="252" t="str">
        <f>""</f>
        <v/>
      </c>
    </row>
    <row r="60" spans="1:2" s="536" customFormat="1">
      <c r="A60" s="1353" t="s">
        <v>3922</v>
      </c>
      <c r="B60" s="1385" t="str">
        <f>""</f>
        <v/>
      </c>
    </row>
    <row r="61" spans="1:2">
      <c r="A61" s="1294">
        <v>1</v>
      </c>
      <c r="B61" s="252">
        <f ca="1">'List of materials'!M3/60</f>
        <v>2.5705261730493634</v>
      </c>
    </row>
    <row r="62" spans="1:2">
      <c r="A62" s="1294">
        <v>2</v>
      </c>
      <c r="B62" s="252">
        <f ca="1">'List of materials'!M4/60</f>
        <v>1.1579382273585608</v>
      </c>
    </row>
    <row r="63" spans="1:2">
      <c r="A63" s="1294">
        <v>3</v>
      </c>
      <c r="B63" s="252">
        <f ca="1">'List of materials'!M5/60</f>
        <v>0.88880085000000009</v>
      </c>
    </row>
    <row r="64" spans="1:2">
      <c r="A64" s="1294">
        <v>4</v>
      </c>
      <c r="B64" s="252">
        <f ca="1">'List of materials'!M6/60</f>
        <v>0.79960351249999995</v>
      </c>
    </row>
    <row r="65" spans="1:2">
      <c r="A65" s="1294">
        <v>5</v>
      </c>
      <c r="B65" s="252">
        <f ca="1">'List of materials'!M7/60</f>
        <v>0.51670499999999997</v>
      </c>
    </row>
    <row r="66" spans="1:2">
      <c r="A66" s="1294">
        <v>6</v>
      </c>
      <c r="B66" s="252">
        <f ca="1">'List of materials'!M8/60</f>
        <v>0.49793333333333328</v>
      </c>
    </row>
    <row r="67" spans="1:2">
      <c r="A67" s="1294">
        <v>7</v>
      </c>
      <c r="B67" s="252">
        <f ca="1">'List of materials'!M9/60</f>
        <v>0.47975999999999996</v>
      </c>
    </row>
    <row r="68" spans="1:2">
      <c r="A68" s="1294">
        <v>8</v>
      </c>
      <c r="B68" s="252">
        <f ca="1">'List of materials'!M10/60</f>
        <v>0.43200000000000005</v>
      </c>
    </row>
    <row r="69" spans="1:2">
      <c r="A69" s="1294">
        <v>9</v>
      </c>
      <c r="B69" s="252">
        <f ca="1">'List of materials'!M11/60</f>
        <v>0.42307199999999995</v>
      </c>
    </row>
    <row r="70" spans="1:2">
      <c r="A70" s="1294">
        <v>10</v>
      </c>
      <c r="B70" s="252">
        <f ca="1">'List of materials'!M12/60</f>
        <v>0.41799999999999998</v>
      </c>
    </row>
    <row r="71" spans="1:2">
      <c r="A71" s="1294">
        <v>11</v>
      </c>
      <c r="B71" s="252">
        <f ca="1">Graphes_Background!E32-SUM(B61:B70)</f>
        <v>4.7951244021213864</v>
      </c>
    </row>
    <row r="72" spans="1:2">
      <c r="B72" s="252" t="str">
        <f>""</f>
        <v/>
      </c>
    </row>
    <row r="73" spans="1:2" s="1388" customFormat="1">
      <c r="A73" s="1388" t="s">
        <v>3936</v>
      </c>
      <c r="B73" s="1392" t="str">
        <f>""</f>
        <v/>
      </c>
    </row>
    <row r="74" spans="1:2">
      <c r="A74" s="1353" t="s">
        <v>3870</v>
      </c>
      <c r="B74" s="252" t="str">
        <f>""</f>
        <v/>
      </c>
    </row>
    <row r="75" spans="1:2">
      <c r="A75" s="1294" t="s">
        <v>400</v>
      </c>
      <c r="B75" s="252">
        <f>Graphes_Background!D2</f>
        <v>0.3058219759911085</v>
      </c>
    </row>
    <row r="76" spans="1:2">
      <c r="A76" s="1294" t="s">
        <v>410</v>
      </c>
      <c r="B76" s="252">
        <f ca="1">Graphes_Background!D3</f>
        <v>1.4326009996461431</v>
      </c>
    </row>
    <row r="77" spans="1:2">
      <c r="A77" s="1294" t="s">
        <v>414</v>
      </c>
      <c r="B77" s="252">
        <f ca="1">Graphes_Background!D4</f>
        <v>1.2147413838641188</v>
      </c>
    </row>
    <row r="78" spans="1:2">
      <c r="A78" s="1294" t="s">
        <v>417</v>
      </c>
      <c r="B78" s="252">
        <f ca="1">Graphes_Background!D5</f>
        <v>0</v>
      </c>
    </row>
    <row r="79" spans="1:2">
      <c r="A79" s="1294" t="s">
        <v>421</v>
      </c>
      <c r="B79" s="252">
        <f ca="1">Graphes_Background!D6</f>
        <v>0.14225373333333333</v>
      </c>
    </row>
    <row r="80" spans="1:2">
      <c r="A80" s="1294" t="s">
        <v>424</v>
      </c>
      <c r="B80" s="252">
        <f ca="1">Graphes_Background!D7</f>
        <v>0.86827299647066669</v>
      </c>
    </row>
    <row r="81" spans="1:2">
      <c r="A81" s="1294" t="s">
        <v>428</v>
      </c>
      <c r="B81" s="252">
        <f ca="1">Graphes_Background!D8</f>
        <v>1.2867644999999999</v>
      </c>
    </row>
    <row r="82" spans="1:2">
      <c r="A82" s="1294" t="s">
        <v>431</v>
      </c>
      <c r="B82" s="252">
        <f ca="1">Graphes_Background!D9</f>
        <v>0.19094808333333332</v>
      </c>
    </row>
    <row r="83" spans="1:2">
      <c r="A83" s="1294" t="s">
        <v>434</v>
      </c>
      <c r="B83" s="252">
        <f ca="1">Graphes_Background!D10</f>
        <v>0.82384014167534281</v>
      </c>
    </row>
    <row r="84" spans="1:2">
      <c r="A84" s="1294" t="s">
        <v>438</v>
      </c>
      <c r="B84" s="252">
        <f ca="1">Graphes_Background!D11</f>
        <v>1.3008010917768473</v>
      </c>
    </row>
    <row r="85" spans="1:2">
      <c r="A85" s="1294" t="s">
        <v>442</v>
      </c>
      <c r="B85" s="252">
        <f ca="1">Graphes_Background!D12</f>
        <v>0.51946122186836519</v>
      </c>
    </row>
    <row r="86" spans="1:2">
      <c r="A86" s="1294" t="s">
        <v>445</v>
      </c>
      <c r="B86" s="252">
        <f ca="1">Graphes_Background!D13</f>
        <v>0</v>
      </c>
    </row>
    <row r="87" spans="1:2">
      <c r="A87" s="1294" t="s">
        <v>448</v>
      </c>
      <c r="B87" s="252">
        <f ca="1">Graphes_Background!D14</f>
        <v>7.9154033333333332E-2</v>
      </c>
    </row>
    <row r="88" spans="1:2">
      <c r="A88" s="1294" t="s">
        <v>451</v>
      </c>
      <c r="B88" s="252">
        <f ca="1">Graphes_Background!D15</f>
        <v>0</v>
      </c>
    </row>
    <row r="89" spans="1:2">
      <c r="A89" s="1294" t="s">
        <v>454</v>
      </c>
      <c r="B89" s="252">
        <f ca="1">Graphes_Background!D16</f>
        <v>1.3349066666666665</v>
      </c>
    </row>
    <row r="90" spans="1:2">
      <c r="A90" s="1294" t="s">
        <v>462</v>
      </c>
      <c r="B90" s="252">
        <f ca="1">Graphes_Background!D17</f>
        <v>1.1188655625000001</v>
      </c>
    </row>
    <row r="91" spans="1:2">
      <c r="A91" s="1294" t="s">
        <v>466</v>
      </c>
      <c r="B91" s="252">
        <f ca="1">Graphes_Background!D18</f>
        <v>0.16803061666666666</v>
      </c>
    </row>
    <row r="92" spans="1:2">
      <c r="A92" s="1294" t="s">
        <v>2854</v>
      </c>
      <c r="B92" s="252">
        <f>Graphes_Background!D19</f>
        <v>0.43200000000000005</v>
      </c>
    </row>
    <row r="93" spans="1:2">
      <c r="A93" s="1294" t="s">
        <v>918</v>
      </c>
      <c r="B93" s="252">
        <f>Graphes_Background!D20</f>
        <v>0.72356715790338599</v>
      </c>
    </row>
    <row r="94" spans="1:2">
      <c r="A94" s="1294" t="s">
        <v>477</v>
      </c>
      <c r="B94" s="252">
        <f>Graphes_Background!D21</f>
        <v>0.61943333333333328</v>
      </c>
    </row>
    <row r="95" spans="1:2">
      <c r="A95" s="1294" t="s">
        <v>481</v>
      </c>
      <c r="B95" s="252">
        <f>Graphes_Background!D22</f>
        <v>0.41799999999999998</v>
      </c>
    </row>
    <row r="96" spans="1:2">
      <c r="B96" s="252" t="str">
        <f>""</f>
        <v/>
      </c>
    </row>
    <row r="97" spans="1:2" s="536" customFormat="1">
      <c r="A97" s="1353" t="s">
        <v>3871</v>
      </c>
      <c r="B97" s="1385" t="str">
        <f>""</f>
        <v/>
      </c>
    </row>
    <row r="98" spans="1:2">
      <c r="A98" s="1294" t="s">
        <v>400</v>
      </c>
      <c r="B98" s="252">
        <f>Graphes_Background!H2</f>
        <v>0</v>
      </c>
    </row>
    <row r="99" spans="1:2">
      <c r="A99" s="1294" t="s">
        <v>410</v>
      </c>
      <c r="B99" s="252">
        <f ca="1">Graphes_Background!H3</f>
        <v>0</v>
      </c>
    </row>
    <row r="100" spans="1:2">
      <c r="A100" s="1294" t="s">
        <v>414</v>
      </c>
      <c r="B100" s="252">
        <f ca="1">Graphes_Background!H4</f>
        <v>9.9493777777777792E-2</v>
      </c>
    </row>
    <row r="101" spans="1:2">
      <c r="A101" s="1294" t="s">
        <v>417</v>
      </c>
      <c r="B101" s="252">
        <f ca="1">Graphes_Background!H5</f>
        <v>0</v>
      </c>
    </row>
    <row r="102" spans="1:2">
      <c r="A102" s="1294" t="s">
        <v>421</v>
      </c>
      <c r="B102" s="252">
        <f ca="1">Graphes_Background!H6</f>
        <v>1.6647571111111112</v>
      </c>
    </row>
    <row r="103" spans="1:2">
      <c r="A103" s="1294" t="s">
        <v>424</v>
      </c>
      <c r="B103" s="252">
        <f ca="1">Graphes_Background!H7</f>
        <v>0.49674492999999997</v>
      </c>
    </row>
    <row r="104" spans="1:2">
      <c r="A104" s="1294" t="s">
        <v>428</v>
      </c>
      <c r="B104" s="252">
        <f ca="1">Graphes_Background!H8</f>
        <v>0.11</v>
      </c>
    </row>
    <row r="105" spans="1:2">
      <c r="A105" s="1294" t="s">
        <v>431</v>
      </c>
      <c r="B105" s="252">
        <f ca="1">Graphes_Background!H9</f>
        <v>1.598197638888889</v>
      </c>
    </row>
    <row r="106" spans="1:2">
      <c r="A106" s="1294" t="s">
        <v>434</v>
      </c>
      <c r="B106" s="252">
        <f ca="1">Graphes_Background!H10</f>
        <v>2.334882623339276E-2</v>
      </c>
    </row>
    <row r="107" spans="1:2">
      <c r="A107" s="1294" t="s">
        <v>438</v>
      </c>
      <c r="B107" s="252">
        <f ca="1">Graphes_Background!H11</f>
        <v>0.80405438208333335</v>
      </c>
    </row>
    <row r="108" spans="1:2">
      <c r="A108" s="1294" t="s">
        <v>442</v>
      </c>
      <c r="B108" s="252">
        <f ca="1">Graphes_Background!H12</f>
        <v>1.5913119444444443</v>
      </c>
    </row>
    <row r="109" spans="1:2">
      <c r="A109" s="1294" t="s">
        <v>445</v>
      </c>
      <c r="B109" s="252">
        <f ca="1">Graphes_Background!H13</f>
        <v>0</v>
      </c>
    </row>
    <row r="110" spans="1:2">
      <c r="A110" s="1294" t="s">
        <v>448</v>
      </c>
      <c r="B110" s="252">
        <f ca="1">Graphes_Background!H14</f>
        <v>0.26045427222222223</v>
      </c>
    </row>
    <row r="111" spans="1:2">
      <c r="A111" s="1294" t="s">
        <v>451</v>
      </c>
      <c r="B111" s="252">
        <f ca="1">Graphes_Background!H15</f>
        <v>0</v>
      </c>
    </row>
    <row r="112" spans="1:2">
      <c r="A112" s="1294" t="s">
        <v>454</v>
      </c>
      <c r="B112" s="252">
        <f ca="1">Graphes_Background!H16</f>
        <v>0.11507222222222223</v>
      </c>
    </row>
    <row r="113" spans="1:2">
      <c r="A113" s="1294" t="s">
        <v>462</v>
      </c>
      <c r="B113" s="252">
        <f ca="1">Graphes_Background!H17</f>
        <v>0</v>
      </c>
    </row>
    <row r="114" spans="1:2">
      <c r="A114" s="1294" t="s">
        <v>466</v>
      </c>
      <c r="B114" s="252">
        <f ca="1">Graphes_Background!H18</f>
        <v>6.0650944444444431E-2</v>
      </c>
    </row>
    <row r="115" spans="1:2">
      <c r="A115" s="1294" t="s">
        <v>2854</v>
      </c>
      <c r="B115" s="252">
        <f>Graphes_Background!H19</f>
        <v>0</v>
      </c>
    </row>
    <row r="116" spans="1:2">
      <c r="A116" s="1294" t="s">
        <v>918</v>
      </c>
      <c r="B116" s="252">
        <f>Graphes_Background!H20</f>
        <v>0</v>
      </c>
    </row>
    <row r="117" spans="1:2">
      <c r="A117" s="1294" t="s">
        <v>477</v>
      </c>
      <c r="B117" s="252">
        <f>Graphes_Background!H21</f>
        <v>0</v>
      </c>
    </row>
    <row r="118" spans="1:2">
      <c r="A118" s="1294" t="s">
        <v>481</v>
      </c>
      <c r="B118" s="252">
        <f>Graphes_Background!H22</f>
        <v>0</v>
      </c>
    </row>
    <row r="119" spans="1:2">
      <c r="B119" s="252" t="str">
        <f>""</f>
        <v/>
      </c>
    </row>
    <row r="120" spans="1:2" s="536" customFormat="1">
      <c r="A120" s="1353" t="s">
        <v>3950</v>
      </c>
      <c r="B120" s="1385" t="str">
        <f>""</f>
        <v/>
      </c>
    </row>
    <row r="121" spans="1:2" s="536" customFormat="1">
      <c r="A121" s="1294" t="str">
        <f>'List of materials'!AG19</f>
        <v>Transport excavation</v>
      </c>
      <c r="B121" s="1385">
        <f ca="1">'List of materials'!AI19</f>
        <v>2.256764473702964E-2</v>
      </c>
    </row>
    <row r="122" spans="1:2">
      <c r="A122" s="1294" t="str">
        <f>'List of materials'!AG2</f>
        <v>Travaux de préparation</v>
      </c>
      <c r="B122" s="252">
        <f ca="1">'List of materials'!AI2</f>
        <v>0</v>
      </c>
    </row>
    <row r="123" spans="1:2">
      <c r="A123" s="1294" t="str">
        <f>'List of materials'!AG3</f>
        <v>Béton</v>
      </c>
      <c r="B123" s="252">
        <f ca="1">'List of materials'!AI3</f>
        <v>2.7017956174938078</v>
      </c>
    </row>
    <row r="124" spans="1:2">
      <c r="A124" s="1294" t="str">
        <f>'List of materials'!AG4</f>
        <v xml:space="preserve">Pierres de taille </v>
      </c>
      <c r="B124" s="252">
        <f ca="1">'List of materials'!AI4</f>
        <v>0</v>
      </c>
    </row>
    <row r="125" spans="1:2">
      <c r="A125" s="1294" t="str">
        <f>'List of materials'!AG5</f>
        <v>Autres matériaux massifs</v>
      </c>
      <c r="B125" s="252">
        <f ca="1">'List of materials'!AI5</f>
        <v>0.69863208137739763</v>
      </c>
    </row>
    <row r="126" spans="1:2">
      <c r="A126" s="1294" t="str">
        <f>'List of materials'!AG6</f>
        <v>Mortiers et enduits</v>
      </c>
      <c r="B126" s="252">
        <f ca="1">'List of materials'!AI6</f>
        <v>1.5864491958333333</v>
      </c>
    </row>
    <row r="127" spans="1:2">
      <c r="A127" s="1294" t="str">
        <f>'List of materials'!AG7</f>
        <v>Fenêtre et façades verre/métal</v>
      </c>
      <c r="B127" s="252">
        <f ca="1">'List of materials'!AI7</f>
        <v>1.1923519999999999</v>
      </c>
    </row>
    <row r="128" spans="1:2">
      <c r="A128" s="1294" t="str">
        <f>'List of materials'!AG8</f>
        <v xml:space="preserve">Produits en métal </v>
      </c>
      <c r="B128" s="252">
        <f ca="1">'List of materials'!AI8</f>
        <v>1.076447199785503</v>
      </c>
    </row>
    <row r="129" spans="1:2">
      <c r="A129" s="1294" t="str">
        <f>'List of materials'!AG9</f>
        <v>Bois et produits en bois</v>
      </c>
      <c r="B129" s="252">
        <f ca="1">'List of materials'!AI9</f>
        <v>0.89319470112632571</v>
      </c>
    </row>
    <row r="130" spans="1:2">
      <c r="A130" s="1294" t="str">
        <f>'List of materials'!AG10</f>
        <v>Colles et masses de jointoiement</v>
      </c>
      <c r="B130" s="252">
        <f ca="1">'List of materials'!AI10</f>
        <v>0.11286333333333333</v>
      </c>
    </row>
    <row r="131" spans="1:2">
      <c r="A131" s="1294" t="str">
        <f>'List of materials'!AG11</f>
        <v xml:space="preserve">Lés d'étanchéité et feuilles de protection </v>
      </c>
      <c r="B131" s="252">
        <f ca="1">'List of materials'!AI11</f>
        <v>0.11824421349322206</v>
      </c>
    </row>
    <row r="132" spans="1:2">
      <c r="A132" s="1294" t="str">
        <f>'List of materials'!AG12</f>
        <v>Produits d'isolation thermique</v>
      </c>
      <c r="B132" s="252">
        <f ca="1">'List of materials'!AI12</f>
        <v>1.1867182273585608</v>
      </c>
    </row>
    <row r="133" spans="1:2">
      <c r="A133" s="1294" t="str">
        <f>'List of materials'!AG13</f>
        <v>Revêtements de sol</v>
      </c>
      <c r="B133" s="252">
        <f ca="1">'List of materials'!AI13</f>
        <v>0.36326333333333338</v>
      </c>
    </row>
    <row r="134" spans="1:2">
      <c r="A134" s="1294" t="str">
        <f>'List of materials'!AG14</f>
        <v>Portes</v>
      </c>
      <c r="B134" s="252">
        <f ca="1">'List of materials'!AI14</f>
        <v>9.4412499999999996E-2</v>
      </c>
    </row>
    <row r="135" spans="1:2">
      <c r="A135" s="1294" t="str">
        <f>'List of materials'!AG15</f>
        <v>Tuyaux</v>
      </c>
      <c r="B135" s="252">
        <f ca="1">'List of materials'!AI15</f>
        <v>0.15833333333333333</v>
      </c>
    </row>
    <row r="136" spans="1:2">
      <c r="A136" s="1294" t="str">
        <f>'List of materials'!AG16</f>
        <v>Enduits et revêtements</v>
      </c>
      <c r="B136" s="252">
        <f ca="1">'List of materials'!AI16</f>
        <v>0.19128210000000001</v>
      </c>
    </row>
    <row r="137" spans="1:2">
      <c r="A137" s="1294" t="str">
        <f>'List of materials'!AG17</f>
        <v>Matières plastique</v>
      </c>
      <c r="B137" s="252">
        <f ca="1">'List of materials'!AI17</f>
        <v>0.10665319466666667</v>
      </c>
    </row>
    <row r="138" spans="1:2">
      <c r="A138" s="1294" t="str">
        <f>'List of materials'!AG18</f>
        <v>Technique du bâtiment</v>
      </c>
      <c r="B138" s="252">
        <f ca="1">'List of materials'!AI18</f>
        <v>2.0183708333333334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92C9-60BD-42F9-A6FE-48B498842FC8}">
  <sheetPr codeName="Feuil7"/>
  <dimension ref="A1:M108"/>
  <sheetViews>
    <sheetView topLeftCell="A16" workbookViewId="0">
      <selection activeCell="B19" sqref="B19"/>
    </sheetView>
  </sheetViews>
  <sheetFormatPr baseColWidth="10" defaultColWidth="11" defaultRowHeight="15.75"/>
  <cols>
    <col min="1" max="1" width="48" bestFit="1" customWidth="1"/>
    <col min="2" max="2" width="63" bestFit="1" customWidth="1"/>
    <col min="3" max="4" width="53.125" bestFit="1" customWidth="1"/>
    <col min="5" max="5" width="59.625" bestFit="1" customWidth="1"/>
    <col min="6" max="6" width="53.125" bestFit="1" customWidth="1"/>
    <col min="7" max="7" width="59" bestFit="1" customWidth="1"/>
    <col min="8" max="8" width="26.375" customWidth="1"/>
    <col min="9" max="9" width="23.125" customWidth="1"/>
    <col min="12" max="12" width="19.375" bestFit="1" customWidth="1"/>
    <col min="14" max="14" width="14.5" bestFit="1" customWidth="1"/>
    <col min="15" max="15" width="11.25" bestFit="1" customWidth="1"/>
  </cols>
  <sheetData>
    <row r="1" spans="1:12" s="528" customFormat="1">
      <c r="A1" s="528" t="s">
        <v>187</v>
      </c>
    </row>
    <row r="2" spans="1:12">
      <c r="A2" s="611" t="s">
        <v>78</v>
      </c>
      <c r="B2" s="611" t="s">
        <v>82</v>
      </c>
      <c r="C2" s="611" t="s">
        <v>188</v>
      </c>
      <c r="D2" s="611" t="s">
        <v>189</v>
      </c>
      <c r="E2" s="611" t="s">
        <v>190</v>
      </c>
      <c r="F2" s="611" t="s">
        <v>191</v>
      </c>
      <c r="G2" s="611" t="s">
        <v>191</v>
      </c>
      <c r="H2" s="611" t="s">
        <v>3965</v>
      </c>
    </row>
    <row r="3" spans="1:12">
      <c r="A3" t="s">
        <v>344</v>
      </c>
      <c r="B3" t="s">
        <v>83</v>
      </c>
      <c r="C3" t="s">
        <v>81</v>
      </c>
      <c r="D3" t="s">
        <v>85</v>
      </c>
      <c r="E3" t="s">
        <v>100</v>
      </c>
      <c r="F3" t="s">
        <v>192</v>
      </c>
      <c r="G3" t="s">
        <v>193</v>
      </c>
      <c r="H3" t="s">
        <v>3967</v>
      </c>
    </row>
    <row r="4" spans="1:12">
      <c r="A4" t="s">
        <v>3798</v>
      </c>
      <c r="B4" t="s">
        <v>194</v>
      </c>
      <c r="C4" t="s">
        <v>195</v>
      </c>
      <c r="D4" t="s">
        <v>196</v>
      </c>
      <c r="E4" t="s">
        <v>197</v>
      </c>
      <c r="F4" t="s">
        <v>198</v>
      </c>
      <c r="G4" t="s">
        <v>199</v>
      </c>
      <c r="H4" t="s">
        <v>3966</v>
      </c>
    </row>
    <row r="5" spans="1:12">
      <c r="A5" t="s">
        <v>3933</v>
      </c>
      <c r="B5" t="s">
        <v>4066</v>
      </c>
      <c r="C5" t="s">
        <v>200</v>
      </c>
      <c r="D5" t="s">
        <v>201</v>
      </c>
      <c r="E5" t="s">
        <v>202</v>
      </c>
    </row>
    <row r="6" spans="1:12">
      <c r="B6" t="s">
        <v>4067</v>
      </c>
      <c r="C6" t="s">
        <v>203</v>
      </c>
      <c r="D6" t="s">
        <v>204</v>
      </c>
      <c r="E6" t="s">
        <v>205</v>
      </c>
    </row>
    <row r="7" spans="1:12" ht="16.5" customHeight="1"/>
    <row r="8" spans="1:12" ht="16.5" customHeight="1">
      <c r="A8" s="611" t="s">
        <v>103</v>
      </c>
      <c r="B8" s="611" t="s">
        <v>105</v>
      </c>
      <c r="C8" s="611" t="s">
        <v>107</v>
      </c>
      <c r="D8" s="611" t="s">
        <v>206</v>
      </c>
    </row>
    <row r="9" spans="1:12" ht="16.5" customHeight="1">
      <c r="A9" t="str">
        <f>'Enveloppe du bâtiment sout.'!A4</f>
        <v>non-isolés</v>
      </c>
      <c r="B9" t="s">
        <v>207</v>
      </c>
      <c r="C9" t="s">
        <v>108</v>
      </c>
      <c r="D9" t="s">
        <v>208</v>
      </c>
    </row>
    <row r="10" spans="1:12" ht="16.5" customHeight="1">
      <c r="A10" t="str">
        <f>'Enveloppe du bâtiment sout.'!A9</f>
        <v>isolés, XPS</v>
      </c>
      <c r="B10" t="s">
        <v>106</v>
      </c>
      <c r="C10" t="s">
        <v>209</v>
      </c>
      <c r="D10" t="s">
        <v>210</v>
      </c>
    </row>
    <row r="11" spans="1:12" ht="16.5" customHeight="1">
      <c r="A11" t="str">
        <f>'Enveloppe du bâtiment sout.'!A17</f>
        <v>isolés, Verre cellulaire</v>
      </c>
      <c r="B11" t="s">
        <v>1012</v>
      </c>
      <c r="C11" t="s">
        <v>1012</v>
      </c>
    </row>
    <row r="12" spans="1:12" ht="16.5" customHeight="1"/>
    <row r="13" spans="1:12" ht="16.5" customHeight="1"/>
    <row r="14" spans="1:12" s="528" customFormat="1">
      <c r="A14" s="528" t="s">
        <v>211</v>
      </c>
    </row>
    <row r="15" spans="1:12" ht="16.5" customHeight="1">
      <c r="A15" s="611" t="s">
        <v>184</v>
      </c>
      <c r="B15" s="611" t="s">
        <v>212</v>
      </c>
      <c r="C15" s="611" t="s">
        <v>213</v>
      </c>
      <c r="D15" s="611" t="s">
        <v>214</v>
      </c>
      <c r="E15" s="611" t="s">
        <v>215</v>
      </c>
      <c r="F15" s="611" t="s">
        <v>216</v>
      </c>
      <c r="G15" s="611" t="s">
        <v>217</v>
      </c>
      <c r="H15" s="611" t="s">
        <v>218</v>
      </c>
      <c r="I15" s="611" t="s">
        <v>219</v>
      </c>
      <c r="J15" s="611" t="s">
        <v>220</v>
      </c>
      <c r="K15" s="611" t="s">
        <v>221</v>
      </c>
      <c r="L15" s="611" t="s">
        <v>3780</v>
      </c>
    </row>
    <row r="16" spans="1:12" ht="16.5" customHeight="1">
      <c r="A16" t="s">
        <v>222</v>
      </c>
      <c r="B16" t="str">
        <f>'Enveloppe du bâtiment hors terr'!A4</f>
        <v>Paroi en béton</v>
      </c>
      <c r="C16" t="str">
        <f>'Enveloppe du bâtiment hors terr'!A27</f>
        <v>Crépis extérieur</v>
      </c>
      <c r="D16" t="str">
        <f>'Eléments de constr. inté. et ex'!A5</f>
        <v>Béton</v>
      </c>
      <c r="E16" t="str">
        <f>'Eléments de constr. inté. et ex'!A25</f>
        <v>Cloison légère</v>
      </c>
      <c r="F16" t="str">
        <f>'Eléments de constr. inté. et ex'!A40</f>
        <v>Dalle en béton 25cm</v>
      </c>
      <c r="G16" t="str">
        <f>'Enveloppe du bâtiment hors terr'!A157</f>
        <v>Toiture plate</v>
      </c>
      <c r="H16" t="str">
        <f>'Enveloppe du bâtiment hors terr'!A122</f>
        <v>Dalle en béton 25cm</v>
      </c>
      <c r="J16" t="s">
        <v>694</v>
      </c>
      <c r="K16" t="s">
        <v>208</v>
      </c>
      <c r="L16" t="str">
        <f>'Abords des bâtiments'!A5</f>
        <v>Revêt. bit. simple</v>
      </c>
    </row>
    <row r="17" spans="1:12" ht="16.5" customHeight="1">
      <c r="A17" t="s">
        <v>115</v>
      </c>
      <c r="B17" t="str">
        <f>'Enveloppe du bâtiment hors terr'!A9</f>
        <v>Paroi en bois</v>
      </c>
      <c r="C17" t="str">
        <f>'Enveloppe du bâtiment hors terr'!A35</f>
        <v>Revêtement bois ventilé</v>
      </c>
      <c r="D17" t="str">
        <f>'Eléments de constr. inté. et ex'!A10</f>
        <v>Paroi CLT</v>
      </c>
      <c r="E17" t="str">
        <f>'Eléments de constr. inté. et ex'!A25</f>
        <v>Cloison légère</v>
      </c>
      <c r="F17" t="str">
        <f>'Eléments de constr. inté. et ex'!A55</f>
        <v>Système mixte bois-béton</v>
      </c>
      <c r="G17" t="str">
        <f>'Enveloppe du bâtiment hors terr'!A165</f>
        <v>Toiture inclinée</v>
      </c>
      <c r="H17" t="str">
        <f>'Enveloppe du bâtiment hors terr'!A127</f>
        <v>Plafond en bois massif</v>
      </c>
      <c r="J17" t="s">
        <v>697</v>
      </c>
      <c r="K17" t="s">
        <v>697</v>
      </c>
      <c r="L17" t="str">
        <f>'Abords des bâtiments'!A10</f>
        <v>Gravier</v>
      </c>
    </row>
    <row r="18" spans="1:12" ht="16.5" customHeight="1">
      <c r="L18" t="str">
        <f>'Abords des bâtiments'!A15</f>
        <v>Béton</v>
      </c>
    </row>
    <row r="19" spans="1:12" ht="16.5" customHeight="1">
      <c r="L19" t="str">
        <f>'Abords des bâtiments'!A21</f>
        <v>Pavé 8/11 - pose non lié</v>
      </c>
    </row>
    <row r="20" spans="1:12" ht="16.5" customHeight="1"/>
    <row r="21" spans="1:12" s="979" customFormat="1">
      <c r="A21" s="979" t="s">
        <v>223</v>
      </c>
    </row>
    <row r="22" spans="1:12" s="528" customFormat="1">
      <c r="A22" s="528" t="s">
        <v>224</v>
      </c>
    </row>
    <row r="23" spans="1:12" s="536" customFormat="1">
      <c r="A23" s="537" t="str">
        <f>'Travaux préparatoires'!A7</f>
        <v>Blindage / Pieux</v>
      </c>
    </row>
    <row r="24" spans="1:12" s="536" customFormat="1">
      <c r="A24" s="536" t="str">
        <f>'Travaux préparatoires'!A8</f>
        <v>Baugrubenabschluss / Blindage de fouille</v>
      </c>
      <c r="B24" s="536" t="str">
        <f>'Travaux préparatoires'!A18</f>
        <v>Pfählung / Pieux</v>
      </c>
    </row>
    <row r="25" spans="1:12">
      <c r="A25" t="str" cm="1">
        <f t="array" ref="A25:A27">_xlfn.UNIQUE(_xlfn._xlws.FILTER('Travaux préparatoires'!A9:A17,NOT(ISBLANK('Travaux préparatoires'!A9:A17))))</f>
        <v>Blindage de fouille, paroi berlinoise, étayé</v>
      </c>
      <c r="B25" t="str" cm="1">
        <f t="array" ref="B25:B27">_xlfn.UNIQUE(_xlfn._xlws.FILTER('Travaux préparatoires'!A19:A24,NOT(ISBLANK('Travaux préparatoires'!A19:A24))))</f>
        <v xml:space="preserve">Fondations profondes, micropieu </v>
      </c>
    </row>
    <row r="26" spans="1:12">
      <c r="A26" t="str">
        <v>Blindage de fouille, paroi moulée, 400 mm</v>
      </c>
      <c r="B26" t="str">
        <v>Fondations profondes, pieux forés vissés, 660/580 mm</v>
      </c>
    </row>
    <row r="27" spans="1:12">
      <c r="A27" t="str">
        <v>Blindage de fouille, paroi de palplanche, en porte-à-faux</v>
      </c>
      <c r="B27" t="str">
        <v>Fondations profondes, pieu en béton préfabriqué</v>
      </c>
    </row>
    <row r="32" spans="1:12" s="528" customFormat="1">
      <c r="A32" s="528" t="s">
        <v>225</v>
      </c>
    </row>
    <row r="33" spans="1:10">
      <c r="A33" s="132" t="s">
        <v>226</v>
      </c>
      <c r="B33" s="132" t="s">
        <v>227</v>
      </c>
      <c r="C33" s="132" t="s">
        <v>228</v>
      </c>
    </row>
    <row r="34" spans="1:10">
      <c r="A34" t="str" cm="1">
        <f t="array" ref="A34:A36">_xlfn.UNIQUE(_xlfn._xlws.FILTER('Enveloppe du bâtiment sout.'!A4:A25,NOT(ISBLANK('Enveloppe du bâtiment sout.'!A4:A25))))</f>
        <v>non-isolés</v>
      </c>
      <c r="B34" t="str" cm="1">
        <f t="array" ref="B34:B36">_xlfn.UNIQUE(_xlfn._xlws.FILTER('Enveloppe du bâtiment sout.'!A27:A51,NOT(ISBLANK('Enveloppe du bâtiment sout.'!A27:A51))))</f>
        <v>non-isolés</v>
      </c>
      <c r="C34" t="str" cm="1">
        <f t="array" ref="C34:C36">_xlfn.UNIQUE(_xlfn._xlws.FILTER('Enveloppe du bâtiment sout.'!A53:A87,NOT(ISBLANK('Enveloppe du bâtiment sout.'!A53:A87))))</f>
        <v>non-isolés</v>
      </c>
    </row>
    <row r="35" spans="1:10">
      <c r="A35" t="str">
        <v>isolés, XPS</v>
      </c>
      <c r="B35" t="str">
        <v>isolés, XPS</v>
      </c>
      <c r="C35" t="str">
        <v>isolés, XPS</v>
      </c>
    </row>
    <row r="36" spans="1:10">
      <c r="A36" t="str">
        <v>isolés, Verre cellulaire</v>
      </c>
      <c r="B36" t="str">
        <v>isolés, Verre cellulaire</v>
      </c>
      <c r="C36" t="str">
        <v>isolés, Verre cellulaire</v>
      </c>
    </row>
    <row r="43" spans="1:10" s="528" customFormat="1">
      <c r="A43" s="528" t="s">
        <v>41</v>
      </c>
    </row>
    <row r="44" spans="1:10">
      <c r="A44" s="132" t="str">
        <f>'Enveloppe du bâtiment hors terr'!A3</f>
        <v>Parois extérieures hors terrain</v>
      </c>
      <c r="B44" s="132" t="str">
        <f>'Enveloppe du bâtiment hors terr'!A25</f>
        <v>Revêtements de facades</v>
      </c>
      <c r="C44" s="132" t="str">
        <f>'Enveloppe du bâtiment hors terr'!A94</f>
        <v>Fenêtres</v>
      </c>
      <c r="D44" s="132" t="str">
        <f>'Enveloppe du bâtiment hors terr'!A116</f>
        <v>Portes</v>
      </c>
      <c r="E44" s="132" t="str">
        <f>'Enveloppe du bâtiment hors terr'!A120</f>
        <v>Toitures (structure porteuse)</v>
      </c>
      <c r="F44" s="132" t="str">
        <f>'Enveloppe du bâtiment hors terr'!A155</f>
        <v>Couvertures du toit</v>
      </c>
      <c r="G44" s="132" t="s">
        <v>229</v>
      </c>
      <c r="H44" s="132" t="str">
        <f>'Enveloppe du bâtiment hors terr'!A211</f>
        <v>Pilier</v>
      </c>
      <c r="I44" s="132" t="s">
        <v>121</v>
      </c>
      <c r="J44" s="132"/>
    </row>
    <row r="45" spans="1:10">
      <c r="A45" t="str" cm="1">
        <f t="array" ref="A45:A49">_xlfn.UNIQUE(_xlfn._xlws.FILTER('Enveloppe du bâtiment hors terr'!A4:A24,NOT(ISBLANK('Enveloppe du bâtiment hors terr'!A4:A24))))</f>
        <v>Paroi en béton</v>
      </c>
      <c r="B45" t="str" cm="1">
        <f t="array" ref="B45:B52">_xlfn.UNIQUE(_xlfn._xlws.FILTER('Enveloppe du bâtiment hors terr'!A26:A81,NOT(ISBLANK('Enveloppe du bâtiment hors terr'!A26:A81))))</f>
        <v>Crépis extérieur</v>
      </c>
      <c r="C45" t="str" cm="1">
        <f t="array" ref="C45:C48">_xlfn.UNIQUE(_xlfn._xlws.FILTER('Enveloppe du bâtiment hors terr'!A95:A115,NOT(ISBLANK('Enveloppe du bâtiment hors terr'!A95:A115))))</f>
        <v>Triple vitrage isolant, cadre PVC, y c. protection solaire</v>
      </c>
      <c r="D45" t="str" cm="1">
        <f t="array" ref="D45">_xlfn.UNIQUE(_xlfn._xlws.FILTER('Enveloppe du bâtiment hors terr'!A117:A119,NOT(ISBLANK('Enveloppe du bâtiment hors terr'!A117:A119))))</f>
        <v>Porte extérieure</v>
      </c>
      <c r="E45" t="str" cm="1">
        <f t="array" ref="E45:E50">_xlfn.UNIQUE(_xlfn._xlws.FILTER('Enveloppe du bâtiment hors terr'!A121:A154,NOT(ISBLANK('Enveloppe du bâtiment hors terr'!A121:A154))))</f>
        <v>Dalle en béton 25cm</v>
      </c>
      <c r="F45" t="str" cm="1">
        <f t="array" ref="F45:F48">_xlfn.UNIQUE(_xlfn._xlws.FILTER('Enveloppe du bâtiment hors terr'!A156:A184,NOT(ISBLANK('Enveloppe du bâtiment hors terr'!A156:A184))))</f>
        <v>Toiture plate</v>
      </c>
      <c r="G45" t="str" cm="1">
        <f t="array" ref="G45:G50">_xlfn.UNIQUE(_xlfn._xlws.FILTER('Enveloppe du bâtiment hors terr'!A186:A197,NOT(ISBLANK('Enveloppe du bâtiment hors terr'!A186:A197))))</f>
        <v>EPS</v>
      </c>
      <c r="H45" t="str" cm="1">
        <f t="array" ref="H45:H46">_xlfn.UNIQUE(_xlfn._xlws.FILTER('Enveloppe du bâtiment hors terr'!A212:A222,NOT(ISBLANK('Enveloppe du bâtiment hors terr'!A212:A222))))</f>
        <v>Pilier en béton coulé sur place</v>
      </c>
      <c r="I45" t="str" cm="1">
        <f t="array" ref="I45:I49">_xlfn.UNIQUE(_xlfn._xlws.FILTER('Enveloppe du bâtiment hors terr'!A83:A92,NOT(ISBLANK('Enveloppe du bâtiment hors terr'!A83:A92))))</f>
        <v>EPS</v>
      </c>
    </row>
    <row r="46" spans="1:10">
      <c r="A46" t="str">
        <v>Paroi en bois</v>
      </c>
      <c r="B46" t="str">
        <v>Revêtement bois ventilé</v>
      </c>
      <c r="C46" t="str">
        <v>Triple vitrage isolant, cadre bois-métal, y c. protection solaire</v>
      </c>
      <c r="E46" t="str">
        <v>Plafond en bois massif</v>
      </c>
      <c r="F46" t="str">
        <v>Toiture inclinée</v>
      </c>
      <c r="G46" t="str">
        <v>Laine de roche</v>
      </c>
      <c r="H46" t="str">
        <v>Support préfabriqué</v>
      </c>
      <c r="I46" t="str">
        <v>Laine de roche</v>
      </c>
    </row>
    <row r="47" spans="1:10">
      <c r="A47" t="str">
        <v>Paroi en brique en terre cuite</v>
      </c>
      <c r="B47" t="str">
        <v>Mur double paroi - extérieure 12.5cm, Laine de roche</v>
      </c>
      <c r="C47" t="str">
        <v>Triple vitrage isolant, cadre bois y c. protection solaire</v>
      </c>
      <c r="E47" t="str">
        <v>Dalle en béton 40cm</v>
      </c>
      <c r="F47" t="str">
        <v>Toiture plate non isolée</v>
      </c>
      <c r="G47" t="str">
        <v>Laine de verre</v>
      </c>
      <c r="I47" t="str">
        <v>Laine de roche, pour revêtement crépi</v>
      </c>
    </row>
    <row r="48" spans="1:10">
      <c r="A48" t="str">
        <v>Paroi en briques pour double paroi en briques</v>
      </c>
      <c r="B48" t="str">
        <v>Revêtement Fibrociment</v>
      </c>
      <c r="C48" t="str">
        <v>Protection solaire</v>
      </c>
      <c r="E48" t="str">
        <v>Plafond solivage</v>
      </c>
      <c r="F48" t="str">
        <v>Toiture inclinée non isolée</v>
      </c>
      <c r="G48" t="str">
        <v>XPS</v>
      </c>
      <c r="I48" t="str">
        <v>Laine de verre</v>
      </c>
    </row>
    <row r="49" spans="1:13">
      <c r="A49" t="str">
        <v>Maconnerie monolithique isolante</v>
      </c>
      <c r="B49" t="str">
        <v>Revêtement Pierre naturelle</v>
      </c>
      <c r="E49" t="str">
        <v>Plafond incliné en bois</v>
      </c>
      <c r="G49" t="str">
        <v>PUR</v>
      </c>
      <c r="I49" t="str">
        <v>non-isolées</v>
      </c>
    </row>
    <row r="50" spans="1:13">
      <c r="B50" t="str">
        <v>Revêtements métal</v>
      </c>
      <c r="E50" t="str">
        <v>Tôle ondulée-béton</v>
      </c>
      <c r="G50" t="str">
        <v>non-isolées</v>
      </c>
    </row>
    <row r="51" spans="1:13">
      <c r="B51" t="str">
        <v>Revêtements verre</v>
      </c>
    </row>
    <row r="52" spans="1:13">
      <c r="B52" t="str">
        <v>Crépis extérieur sans isolant</v>
      </c>
    </row>
    <row r="61" spans="1:13" s="528" customFormat="1">
      <c r="A61" s="528" t="s">
        <v>230</v>
      </c>
    </row>
    <row r="62" spans="1:13">
      <c r="A62" s="132" t="str">
        <f>'Eléments de constr. inté. et ex'!A3</f>
        <v>Parois intérieures porteuses et cage d'escalier</v>
      </c>
      <c r="B62" s="132" t="str">
        <f>'Eléments de constr. inté. et ex'!A23</f>
        <v>Parois intérieures non-porteuses</v>
      </c>
      <c r="C62" s="132" t="str">
        <f>'Eléments de constr. inté. et ex'!A39</f>
        <v>Planchers internes</v>
      </c>
      <c r="D62" s="132" t="str">
        <f>'Eléments de constr. inté. et ex'!A60</f>
        <v>Escaliers</v>
      </c>
      <c r="E62" s="132" t="str">
        <f>'Eléments de constr. inté. et ex'!A66</f>
        <v>Balcon</v>
      </c>
      <c r="F62" s="132" t="str">
        <f>'Eléments de constr. inté. et ex'!A82</f>
        <v>Portes</v>
      </c>
      <c r="G62" s="132" t="str">
        <f>'Eléments de constr. inté. et ex'!A87</f>
        <v xml:space="preserve">Revetements de sols </v>
      </c>
      <c r="H62" s="132" t="str">
        <f>'Eléments de constr. inté. et ex'!A106</f>
        <v>Revetements de sols support</v>
      </c>
      <c r="I62" s="132" t="str">
        <f>'Eléments de constr. inté. et ex'!A123</f>
        <v>Isolant acoustique</v>
      </c>
      <c r="J62" s="132" t="s">
        <v>231</v>
      </c>
      <c r="K62" s="132" t="str">
        <f>'Eléments de constr. inté. et ex'!A149</f>
        <v>Isolant contre terre</v>
      </c>
      <c r="L62" s="132" t="str">
        <f>'Eléments de constr. inté. et ex'!A155</f>
        <v>Revêtement intérieurs parois</v>
      </c>
      <c r="M62" s="132" t="str">
        <f>'Eléments de constr. inté. et ex'!A165</f>
        <v>Revetements Plafonds</v>
      </c>
    </row>
    <row r="63" spans="1:13">
      <c r="A63" t="str" cm="1">
        <f t="array" ref="A63:A66">_xlfn.UNIQUE(_xlfn._xlws.FILTER('Eléments de constr. inté. et ex'!A4:A22,NOT(ISBLANK('Eléments de constr. inté. et ex'!A4:A22))))</f>
        <v>Béton</v>
      </c>
      <c r="B63" t="str" cm="1">
        <f t="array" ref="B63:B65">_xlfn.UNIQUE(_xlfn._xlws.FILTER('Eléments de constr. inté. et ex'!A24:A38,NOT(ISBLANK('Eléments de constr. inté. et ex'!A24:A38))))</f>
        <v>Cloison légère</v>
      </c>
      <c r="C63" t="str" cm="1">
        <f t="array" ref="C63:C66">_xlfn.UNIQUE(_xlfn._xlws.FILTER('Eléments de constr. inté. et ex'!A40:A58,NOT(ISBLANK('Eléments de constr. inté. et ex'!A40:A58))))</f>
        <v>Dalle en béton 25cm</v>
      </c>
      <c r="D63" t="str" cm="1">
        <f t="array" ref="D63">_xlfn.UNIQUE(_xlfn._xlws.FILTER('Eléments de constr. inté. et ex'!A61:A65,NOT(ISBLANK('Eléments de constr. inté. et ex'!A61:A65))))</f>
        <v>Escaliers béton</v>
      </c>
      <c r="E63" t="str" cm="1">
        <f t="array" ref="E63:E64">_xlfn.UNIQUE(_xlfn._xlws.FILTER('Eléments de constr. inté. et ex'!A67:A81,NOT(ISBLANK('Eléments de constr. inté. et ex'!A67:A81))))</f>
        <v>Balcons y c. dispositifs antichute</v>
      </c>
      <c r="F63" t="str" cm="1">
        <f t="array" ref="F63">_xlfn.UNIQUE(_xlfn._xlws.FILTER('Eléments de constr. inté. et ex'!A83:A86,NOT(ISBLANK('Eléments de constr. inté. et ex'!A83:A86))))</f>
        <v>Portes internes</v>
      </c>
      <c r="G63" t="str" cm="1">
        <f t="array" ref="G63:G66">_xlfn.UNIQUE(_xlfn._xlws.FILTER('Eléments de constr. inté. et ex'!A88:A105,NOT(ISBLANK('Eléments de constr. inté. et ex'!A88:A105))))</f>
        <v>Linoleum</v>
      </c>
      <c r="H63" t="str" cm="1">
        <f t="array" ref="H63:H66">_xlfn.UNIQUE(_xlfn._xlws.FILTER('Eléments de constr. inté. et ex'!A107:A121,NOT(ISBLANK('Eléments de constr. inté. et ex'!A107:A121))))</f>
        <v>Chape ciment</v>
      </c>
      <c r="I63" t="str" cm="1">
        <f t="array" ref="I63:I65">_xlfn.UNIQUE(_xlfn._xlws.FILTER('Eléments de constr. inté. et ex'!A124:A135,NOT(ISBLANK('Eléments de constr. inté. et ex'!A124:A135))))</f>
        <v>EPS, acoustique</v>
      </c>
      <c r="J63" t="str" cm="1">
        <f t="array" ref="J63:J65">_xlfn.UNIQUE(_xlfn._xlws.FILTER('Eléments de constr. inté. et ex'!A137:A148,NOT(ISBLANK('Eléments de constr. inté. et ex'!A137:A148))))</f>
        <v>EPS</v>
      </c>
      <c r="K63" t="str" cm="1">
        <f t="array" ref="K63">_xlfn.UNIQUE(_xlfn._xlws.FILTER('Eléments de constr. inté. et ex'!A150:A154,NOT(ISBLANK('Eléments de constr. inté. et ex'!A150:A154))))</f>
        <v>Isolant contre terre, XPS</v>
      </c>
      <c r="L63" t="str" cm="1">
        <f t="array" ref="L63:L64">_xlfn.UNIQUE(_xlfn._xlws.FILTER('Eléments de constr. inté. et ex'!A156:A164,NOT(ISBLANK('Eléments de constr. inté. et ex'!A156:A164))))</f>
        <v>Enduit en plâtre et en ciment</v>
      </c>
      <c r="M63" t="str" cm="1">
        <f t="array" ref="M63:M66">_xlfn.UNIQUE(_xlfn._xlws.FILTER('Eléments de constr. inté. et ex'!A166:A189,NOT(ISBLANK('Eléments de constr. inté. et ex'!A166:A189))))</f>
        <v>Enduit en plâtre et en ciment</v>
      </c>
    </row>
    <row r="64" spans="1:13">
      <c r="A64" t="str">
        <v>Paroi CLT</v>
      </c>
      <c r="B64" t="str">
        <v>Paroi placoplatre</v>
      </c>
      <c r="C64" t="str">
        <v>Plancher en éléments de bois</v>
      </c>
      <c r="E64" t="str">
        <v>Balcons bois y c. dispositifs antichute</v>
      </c>
      <c r="G64" t="str">
        <v>Parquet</v>
      </c>
      <c r="H64" t="str">
        <v>Chape anhydrite</v>
      </c>
      <c r="I64" t="str">
        <v>Laine de verre, acoustique</v>
      </c>
      <c r="J64" t="str">
        <v>Laine de verre</v>
      </c>
      <c r="L64" t="str">
        <v>Enduit en plâtre et chaux</v>
      </c>
      <c r="M64" t="str">
        <v>Enduit en plâtre et chaux, avec sous construction</v>
      </c>
    </row>
    <row r="65" spans="1:13">
      <c r="A65" t="str">
        <v>Briques</v>
      </c>
      <c r="B65" t="str">
        <v>Paroi CLT</v>
      </c>
      <c r="C65" t="str">
        <v>Plancher à solivages en bois</v>
      </c>
      <c r="G65" t="str">
        <v>Céramique</v>
      </c>
      <c r="H65" t="str">
        <v>Chape sèche</v>
      </c>
      <c r="I65" t="str">
        <v>Laine de roche, acoustique</v>
      </c>
      <c r="J65" t="str">
        <v>Laine de roche</v>
      </c>
      <c r="M65" t="str">
        <v>Faux plafond d'installation en plâtre</v>
      </c>
    </row>
    <row r="66" spans="1:13">
      <c r="A66" t="str">
        <v xml:space="preserve">Briques silico-calcaires </v>
      </c>
      <c r="C66" t="str">
        <v>Système mixte bois-béton</v>
      </c>
      <c r="G66" t="str">
        <v xml:space="preserve">Revêtement de sol fini mixte </v>
      </c>
      <c r="H66" t="str">
        <v>Chape sèche avec chauffage au sol</v>
      </c>
      <c r="M66" t="str">
        <v>Faux plafond d'installation en métal</v>
      </c>
    </row>
    <row r="75" spans="1:13" s="528" customFormat="1">
      <c r="A75" s="528" t="s">
        <v>232</v>
      </c>
    </row>
    <row r="76" spans="1:13">
      <c r="A76" t="str" cm="1">
        <f t="array" ref="A76:A84">_xlfn.UNIQUE(_xlfn._xlws.FILTER(Installations!A8:A24,NOT(ISBLANK(Installations!A8:A24))))</f>
        <v>Production de chaleur 10 W/m2</v>
      </c>
    </row>
    <row r="77" spans="1:13">
      <c r="A77" t="str">
        <v>Production de chaleur 30 W/m2</v>
      </c>
    </row>
    <row r="78" spans="1:13">
      <c r="A78" t="str">
        <v>Production de chaleur 50 W/m2</v>
      </c>
    </row>
    <row r="79" spans="1:13">
      <c r="A79" t="str">
        <v>Pompe à chaleur saumure-eau 7 kW</v>
      </c>
    </row>
    <row r="80" spans="1:13">
      <c r="A80" t="str">
        <v>Pompe à chaleur air-eau 7 kW</v>
      </c>
    </row>
    <row r="81" spans="1:2">
      <c r="A81" t="str">
        <v>Pompe à chaleur saumure-eau 15 kW</v>
      </c>
    </row>
    <row r="82" spans="1:2">
      <c r="A82" t="str">
        <v>Pompe à chaleur air-eau 15 kW</v>
      </c>
    </row>
    <row r="83" spans="1:2">
      <c r="A83" t="str">
        <v>Pompe à chaleur saumure-eau 50 kW</v>
      </c>
    </row>
    <row r="84" spans="1:2">
      <c r="A84" t="str">
        <v>Pompe à chaleur air-eau 50 kW</v>
      </c>
    </row>
    <row r="87" spans="1:2" s="528" customFormat="1">
      <c r="A87" s="528" t="s">
        <v>3761</v>
      </c>
    </row>
    <row r="88" spans="1:2" s="536" customFormat="1"/>
    <row r="89" spans="1:2">
      <c r="A89" t="str" cm="1">
        <f t="array" ref="A89:A92">_xlfn.UNIQUE(_xlfn._xlws.FILTER('Abords des bâtiments'!A4:A28,NOT(ISBLANK('Abords des bâtiments'!A4:A28))))</f>
        <v>Revêt. bit. simple</v>
      </c>
      <c r="B89" t="str" cm="1">
        <f t="array" ref="B89:B108">_xlfn.UNIQUE(_xlfn._xlws.FILTER('Abords des bâtiments'!A4:A628,NOT(ISBLANK('Abords des bâtiments'!A4:A628))))</f>
        <v>Revêt. bit. simple</v>
      </c>
    </row>
    <row r="90" spans="1:2">
      <c r="A90" t="str">
        <v>Gravier</v>
      </c>
      <c r="B90" t="str">
        <v>Gravier</v>
      </c>
    </row>
    <row r="91" spans="1:2">
      <c r="A91" t="str">
        <v>Béton</v>
      </c>
      <c r="B91" t="str">
        <v>Béton</v>
      </c>
    </row>
    <row r="92" spans="1:2">
      <c r="A92" t="str">
        <v>Pavé 8/11 - pose non lié</v>
      </c>
      <c r="B92" t="str">
        <v>Pavé 8/11 - pose non lié</v>
      </c>
    </row>
    <row r="93" spans="1:2">
      <c r="B93" t="str">
        <v>Pavé 8/11 - pose mixte</v>
      </c>
    </row>
    <row r="94" spans="1:2">
      <c r="B94" t="str">
        <v>Pavé 8/11 - pose liée</v>
      </c>
    </row>
    <row r="95" spans="1:2">
      <c r="B95" t="str">
        <v>Pavé 11/13 - pose non lié</v>
      </c>
    </row>
    <row r="96" spans="1:2">
      <c r="B96" t="str">
        <v>Pavé 11/13 - pose liée</v>
      </c>
    </row>
    <row r="97" spans="2:2">
      <c r="B97" t="str">
        <v>Boutisses 12 - pose non lié</v>
      </c>
    </row>
    <row r="98" spans="2:2">
      <c r="B98" t="str">
        <v>Boutisses 12 - pose liée</v>
      </c>
    </row>
    <row r="99" spans="2:2">
      <c r="B99" t="str">
        <v>Pavé béton 8 cm - non lié</v>
      </c>
    </row>
    <row r="100" spans="2:2">
      <c r="B100" t="str">
        <v>Dalle béton 4 cm - non lié</v>
      </c>
    </row>
    <row r="101" spans="2:2">
      <c r="B101" t="str">
        <v>Dalle béton 4 cm - lié</v>
      </c>
    </row>
    <row r="102" spans="2:2">
      <c r="B102" t="str">
        <v>Pavés à évidements (grilles de gazon)</v>
      </c>
    </row>
    <row r="103" spans="2:2">
      <c r="B103" t="str">
        <v>Dalle rectifié</v>
      </c>
    </row>
    <row r="104" spans="2:2">
      <c r="B104" t="str">
        <v>Dalle rectifié - Suisse</v>
      </c>
    </row>
    <row r="105" spans="2:2">
      <c r="B105" t="str">
        <v>Dalle polie</v>
      </c>
    </row>
    <row r="106" spans="2:2">
      <c r="B106" t="str">
        <v>Dalle coupée - Suisse</v>
      </c>
    </row>
    <row r="107" spans="2:2">
      <c r="B107" t="str">
        <v>Dalle polie - lié</v>
      </c>
    </row>
    <row r="108" spans="2:2">
      <c r="B108" t="str">
        <v>Revêt. bit. bicouche</v>
      </c>
    </row>
  </sheetData>
  <dataConsolidate/>
  <customSheetViews>
    <customSheetView guid="{54A7C567-FA7D-467E-B353-ECB5E61AE756}" state="hidden">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A218-30F8-4CBB-8535-C6DFB2E1501B}">
  <sheetPr codeName="Feuil8"/>
  <dimension ref="A1:N64"/>
  <sheetViews>
    <sheetView workbookViewId="0"/>
  </sheetViews>
  <sheetFormatPr baseColWidth="10" defaultColWidth="11" defaultRowHeight="15.75"/>
  <cols>
    <col min="1" max="1" width="38.25" bestFit="1" customWidth="1"/>
    <col min="2" max="2" width="23.25" bestFit="1" customWidth="1"/>
    <col min="3" max="3" width="25.125" bestFit="1" customWidth="1"/>
    <col min="4" max="4" width="22.5" bestFit="1" customWidth="1"/>
    <col min="6" max="6" width="16.125" customWidth="1"/>
  </cols>
  <sheetData>
    <row r="1" spans="1:14">
      <c r="A1" s="289" t="s">
        <v>48</v>
      </c>
      <c r="B1" s="174" t="s">
        <v>233</v>
      </c>
      <c r="C1" s="174" t="s">
        <v>234</v>
      </c>
      <c r="D1" s="174" t="s">
        <v>197</v>
      </c>
      <c r="E1" s="174" t="s">
        <v>3941</v>
      </c>
      <c r="F1" s="175"/>
    </row>
    <row r="2" spans="1:14">
      <c r="A2" s="254"/>
      <c r="B2" t="s">
        <v>3788</v>
      </c>
      <c r="C2" t="s">
        <v>3930</v>
      </c>
      <c r="F2" s="156"/>
    </row>
    <row r="3" spans="1:14">
      <c r="A3" s="254" t="s">
        <v>235</v>
      </c>
      <c r="B3" cm="1">
        <f t="array" ref="B3">IF('Outil simplifié'!D9=B11,IF('Outil simplifié'!D10=Liste!B4,I11,C11),_xlfn.XLOOKUP('Outil simplifié'!E9,B9:B11,IF('Outil simplifié'!D10=Liste!B4,Cibles!I9:I11,C9:C11),0))</f>
        <v>9</v>
      </c>
      <c r="C3" cm="1">
        <f t="array" ref="C3">IF('Outil simplifié'!D9=B11,IF('Outil simplifié'!D10=Liste!B4,K11,E11),_xlfn.XLOOKUP('Outil simplifié'!E9,B9:B11,IF('Outil simplifié'!D10=Liste!B4,Cibles!K9:K11,E9:E11),0))</f>
        <v>6</v>
      </c>
      <c r="D3" s="252">
        <f>B19</f>
        <v>10.065</v>
      </c>
      <c r="E3" cm="1">
        <f t="array" ref="E3">IF('Outil simplifié'!D9=B11,IF('Outil simplifié'!D10=Liste!B4,M11,G11),_xlfn.XLOOKUP('Outil simplifié'!E9,B9:B11,IF('Outil simplifié'!D10=Liste!B4,Cibles!M9:M11,G9:G11),0))</f>
        <v>40</v>
      </c>
      <c r="F3" s="156"/>
    </row>
    <row r="4" spans="1:14" ht="16.5" thickBot="1">
      <c r="A4" s="255" t="s">
        <v>236</v>
      </c>
      <c r="B4" s="171" cm="1">
        <f t="array" ref="B4">IF('Outil simplifié'!D9=B11,IF('Outil simplifié'!D10=Liste!B4,J11,D11),_xlfn.XLOOKUP('Outil simplifié'!E9,B9:B11,IF('Outil simplifié'!D10=Liste!B4,Cibles!J9:J11,D9:D11),0))</f>
        <v>2</v>
      </c>
      <c r="C4" s="171" cm="1">
        <f t="array" ref="C4">IF('Outil simplifié'!D9=B11,IF('Outil simplifié'!D10=Liste!B4,L11,F11),_xlfn.XLOOKUP('Outil simplifié'!E9,B9:B11,IF('Outil simplifié'!D10=Liste!B4,Cibles!L9:L11,F9:F11),0))</f>
        <v>1</v>
      </c>
      <c r="D4" s="171"/>
      <c r="E4" s="171" cm="1">
        <f t="array" ref="E4">IF('Outil simplifié'!D9=B11,IF('Outil simplifié'!D10=Liste!B4,N11,H11),_xlfn.XLOOKUP('Outil simplifié'!E9,B9:B11,IF('Outil simplifié'!D10=Liste!B4,Cibles!N9:N11,H9:H11),0))</f>
        <v>30</v>
      </c>
      <c r="F4" s="172"/>
    </row>
    <row r="6" spans="1:14" ht="16.5" thickBot="1"/>
    <row r="7" spans="1:14">
      <c r="A7" s="289" t="s">
        <v>3934</v>
      </c>
      <c r="B7" s="174"/>
      <c r="C7" s="174" t="s">
        <v>3788</v>
      </c>
      <c r="D7" s="174"/>
      <c r="E7" s="174" t="s">
        <v>3930</v>
      </c>
      <c r="F7" s="175"/>
      <c r="G7" s="253" t="s">
        <v>3941</v>
      </c>
      <c r="H7" s="174"/>
      <c r="I7" s="1782" t="s">
        <v>3788</v>
      </c>
      <c r="J7" s="174"/>
      <c r="K7" s="174" t="s">
        <v>3930</v>
      </c>
      <c r="L7" s="175"/>
      <c r="M7" s="253" t="s">
        <v>3941</v>
      </c>
      <c r="N7" s="175"/>
    </row>
    <row r="8" spans="1:14">
      <c r="A8" s="254"/>
      <c r="C8" t="s">
        <v>261</v>
      </c>
      <c r="D8" t="s">
        <v>46</v>
      </c>
      <c r="E8" t="s">
        <v>261</v>
      </c>
      <c r="F8" s="156" t="s">
        <v>46</v>
      </c>
      <c r="G8" s="254" t="s">
        <v>261</v>
      </c>
      <c r="H8" s="1774" t="s">
        <v>46</v>
      </c>
      <c r="I8" s="1783" t="s">
        <v>261</v>
      </c>
      <c r="J8" t="s">
        <v>46</v>
      </c>
      <c r="K8" t="s">
        <v>261</v>
      </c>
      <c r="L8" s="156" t="s">
        <v>46</v>
      </c>
      <c r="M8" s="254" t="s">
        <v>261</v>
      </c>
      <c r="N8" s="156" t="s">
        <v>46</v>
      </c>
    </row>
    <row r="9" spans="1:14">
      <c r="A9" s="254" t="s">
        <v>3931</v>
      </c>
      <c r="B9" t="str">
        <f>Liste!H3</f>
        <v>sans prescriptions d'occupation</v>
      </c>
      <c r="C9">
        <v>9</v>
      </c>
      <c r="D9">
        <v>2</v>
      </c>
      <c r="E9">
        <v>6</v>
      </c>
      <c r="F9" s="156">
        <v>1</v>
      </c>
      <c r="G9" s="254">
        <v>40</v>
      </c>
      <c r="H9" s="1774">
        <v>30</v>
      </c>
      <c r="I9" s="1783">
        <v>5</v>
      </c>
      <c r="J9">
        <v>4</v>
      </c>
      <c r="K9">
        <v>4</v>
      </c>
      <c r="L9" s="156">
        <v>3</v>
      </c>
      <c r="M9" s="254">
        <v>20</v>
      </c>
      <c r="N9" s="156">
        <v>50</v>
      </c>
    </row>
    <row r="10" spans="1:14">
      <c r="A10" s="254" t="s">
        <v>3932</v>
      </c>
      <c r="B10" t="str">
        <f>Liste!H4</f>
        <v>avec prescriptions d'occupation</v>
      </c>
      <c r="C10">
        <v>9</v>
      </c>
      <c r="D10">
        <v>4</v>
      </c>
      <c r="E10">
        <v>7</v>
      </c>
      <c r="F10" s="156">
        <v>1</v>
      </c>
      <c r="G10" s="254">
        <v>40</v>
      </c>
      <c r="H10" s="1774">
        <v>50</v>
      </c>
      <c r="I10" s="1783">
        <v>5</v>
      </c>
      <c r="J10">
        <v>6</v>
      </c>
      <c r="K10">
        <v>5</v>
      </c>
      <c r="L10" s="156">
        <v>3</v>
      </c>
      <c r="M10" s="254">
        <v>20</v>
      </c>
      <c r="N10" s="156">
        <v>70</v>
      </c>
    </row>
    <row r="11" spans="1:14" ht="16.5" thickBot="1">
      <c r="A11" s="255" t="s">
        <v>3933</v>
      </c>
      <c r="B11" s="171" t="str">
        <f>Liste!A5</f>
        <v>Bureau</v>
      </c>
      <c r="C11" s="171">
        <v>9</v>
      </c>
      <c r="D11" s="171">
        <v>3</v>
      </c>
      <c r="E11" s="171">
        <v>6</v>
      </c>
      <c r="F11" s="172">
        <v>2</v>
      </c>
      <c r="G11" s="255">
        <v>40</v>
      </c>
      <c r="H11" s="171">
        <v>40</v>
      </c>
      <c r="I11" s="1784">
        <v>5</v>
      </c>
      <c r="J11" s="171">
        <v>5</v>
      </c>
      <c r="K11" s="171">
        <v>4</v>
      </c>
      <c r="L11" s="172">
        <v>4</v>
      </c>
      <c r="M11" s="255">
        <v>20</v>
      </c>
      <c r="N11" s="172">
        <v>60</v>
      </c>
    </row>
    <row r="13" spans="1:14" ht="16.5" thickBot="1"/>
    <row r="14" spans="1:14">
      <c r="A14" s="289" t="s">
        <v>197</v>
      </c>
      <c r="B14" s="174"/>
      <c r="C14" s="174"/>
      <c r="D14" s="174"/>
      <c r="E14" s="174"/>
      <c r="F14" s="175"/>
    </row>
    <row r="15" spans="1:14">
      <c r="A15" s="254"/>
      <c r="B15">
        <v>10</v>
      </c>
      <c r="C15" t="s">
        <v>3833</v>
      </c>
      <c r="D15">
        <v>8</v>
      </c>
      <c r="F15" s="156"/>
    </row>
    <row r="16" spans="1:14">
      <c r="A16" s="254" t="s">
        <v>237</v>
      </c>
      <c r="B16" s="252">
        <f>C45</f>
        <v>0</v>
      </c>
      <c r="C16" t="s">
        <v>238</v>
      </c>
      <c r="D16" s="252">
        <f>B16</f>
        <v>0</v>
      </c>
      <c r="F16" s="156"/>
    </row>
    <row r="17" spans="1:6">
      <c r="A17" s="254" t="s">
        <v>239</v>
      </c>
      <c r="B17" s="252">
        <f>C46</f>
        <v>6.5000000000000002E-2</v>
      </c>
      <c r="D17" s="252">
        <f>B17</f>
        <v>6.5000000000000002E-2</v>
      </c>
      <c r="F17" s="156"/>
    </row>
    <row r="18" spans="1:6">
      <c r="A18" s="254" t="s">
        <v>240</v>
      </c>
      <c r="B18" s="252">
        <f>IF('Outil simplifié'!I14=Liste!D5, 0.3, 0)</f>
        <v>0</v>
      </c>
      <c r="C18" t="s">
        <v>241</v>
      </c>
      <c r="D18">
        <f>IF('Outil simplifié'!I14="Oui", 0.3, 0)</f>
        <v>0</v>
      </c>
      <c r="F18" s="156"/>
    </row>
    <row r="19" spans="1:6">
      <c r="A19" s="296" t="s">
        <v>242</v>
      </c>
      <c r="B19" s="1381">
        <f>SUM(B15:B18)</f>
        <v>10.065</v>
      </c>
      <c r="F19" s="156"/>
    </row>
    <row r="20" spans="1:6">
      <c r="A20" s="254" t="s">
        <v>243</v>
      </c>
      <c r="B20">
        <v>4.7</v>
      </c>
      <c r="D20">
        <v>2.8</v>
      </c>
      <c r="F20" s="156"/>
    </row>
    <row r="21" spans="1:6">
      <c r="A21" s="254"/>
      <c r="F21" s="156"/>
    </row>
    <row r="22" spans="1:6">
      <c r="A22" s="254"/>
      <c r="C22" t="s">
        <v>244</v>
      </c>
      <c r="E22" t="s">
        <v>245</v>
      </c>
      <c r="F22" s="156"/>
    </row>
    <row r="23" spans="1:6">
      <c r="A23" s="254"/>
      <c r="F23" s="156"/>
    </row>
    <row r="24" spans="1:6">
      <c r="A24" s="254" t="s">
        <v>246</v>
      </c>
      <c r="C24">
        <v>1.57</v>
      </c>
      <c r="E24">
        <v>0.78</v>
      </c>
      <c r="F24" s="156"/>
    </row>
    <row r="25" spans="1:6">
      <c r="A25" s="254" t="s">
        <v>217</v>
      </c>
      <c r="C25">
        <v>1.93</v>
      </c>
      <c r="E25">
        <v>1.18</v>
      </c>
      <c r="F25" s="156"/>
    </row>
    <row r="26" spans="1:6">
      <c r="A26" s="254" t="s">
        <v>247</v>
      </c>
      <c r="C26">
        <v>2.35</v>
      </c>
      <c r="E26">
        <v>1.43</v>
      </c>
      <c r="F26" s="156"/>
    </row>
    <row r="27" spans="1:6">
      <c r="A27" s="254" t="s">
        <v>248</v>
      </c>
      <c r="C27">
        <v>4.34</v>
      </c>
      <c r="E27">
        <v>3</v>
      </c>
      <c r="F27" s="156"/>
    </row>
    <row r="28" spans="1:6">
      <c r="A28" s="254" t="s">
        <v>249</v>
      </c>
      <c r="C28">
        <v>0.78</v>
      </c>
      <c r="E28">
        <v>0.39</v>
      </c>
      <c r="F28" s="156"/>
    </row>
    <row r="29" spans="1:6">
      <c r="A29" s="254" t="s">
        <v>237</v>
      </c>
      <c r="C29">
        <v>13.3</v>
      </c>
      <c r="F29" s="156"/>
    </row>
    <row r="30" spans="1:6">
      <c r="A30" s="254" t="s">
        <v>239</v>
      </c>
      <c r="C30">
        <v>5.2</v>
      </c>
      <c r="F30" s="156"/>
    </row>
    <row r="31" spans="1:6">
      <c r="A31" s="254"/>
      <c r="F31" s="156"/>
    </row>
    <row r="32" spans="1:6">
      <c r="A32" s="254" t="s">
        <v>250</v>
      </c>
      <c r="C32" t="s">
        <v>252</v>
      </c>
      <c r="E32" t="s">
        <v>253</v>
      </c>
      <c r="F32" s="156"/>
    </row>
    <row r="33" spans="1:6">
      <c r="A33" s="254" t="s">
        <v>251</v>
      </c>
      <c r="B33" s="274">
        <f>'Outil simplifié'!D12</f>
        <v>160</v>
      </c>
      <c r="F33" s="156"/>
    </row>
    <row r="34" spans="1:6">
      <c r="A34" s="254" t="s">
        <v>246</v>
      </c>
      <c r="B34" s="158">
        <f>'Outil détaillé'!L18</f>
        <v>217.6</v>
      </c>
      <c r="C34" s="252">
        <f>(C24*B34)/$B$33</f>
        <v>2.1352000000000002</v>
      </c>
      <c r="E34" s="252">
        <f>(E24*B34)/$B$33</f>
        <v>1.0608</v>
      </c>
      <c r="F34" s="156"/>
    </row>
    <row r="35" spans="1:6">
      <c r="A35" s="254" t="s">
        <v>217</v>
      </c>
      <c r="B35" s="158">
        <f>'Outil détaillé'!L26</f>
        <v>80</v>
      </c>
      <c r="C35" s="252">
        <f>(C25*B35)/$B$33</f>
        <v>0.96500000000000008</v>
      </c>
      <c r="E35" s="252">
        <f>(E25*B35)/$B$33</f>
        <v>0.59</v>
      </c>
      <c r="F35" s="156"/>
    </row>
    <row r="36" spans="1:6">
      <c r="A36" s="254" t="s">
        <v>247</v>
      </c>
      <c r="B36" s="158">
        <f>'Outil détaillé'!L11</f>
        <v>53.333333333333329</v>
      </c>
      <c r="C36" s="252">
        <f>(C26*B36)/$B$33</f>
        <v>0.78333333333333333</v>
      </c>
      <c r="E36" s="252">
        <f>(E26*B36)/$B$33</f>
        <v>0.47666666666666657</v>
      </c>
      <c r="F36" s="156"/>
    </row>
    <row r="37" spans="1:6">
      <c r="A37" s="254" t="s">
        <v>248</v>
      </c>
      <c r="B37" s="158">
        <f>'Outil détaillé'!L23</f>
        <v>38.4</v>
      </c>
      <c r="C37" s="252">
        <f>(C27*B37)/$B$33</f>
        <v>1.0415999999999999</v>
      </c>
      <c r="E37" s="252">
        <f>(E27*B37)/$B$33</f>
        <v>0.72</v>
      </c>
      <c r="F37" s="156"/>
    </row>
    <row r="38" spans="1:6">
      <c r="A38" s="254" t="s">
        <v>249</v>
      </c>
      <c r="B38" s="158">
        <f>'Outil détaillé'!L32</f>
        <v>64</v>
      </c>
      <c r="C38" s="252">
        <f>(C28*B38)/$B$33</f>
        <v>0.312</v>
      </c>
      <c r="E38" s="252">
        <f>(E28*B38)/$B$33</f>
        <v>0.156</v>
      </c>
      <c r="F38" s="156"/>
    </row>
    <row r="39" spans="1:6">
      <c r="A39" s="254" t="s">
        <v>254</v>
      </c>
      <c r="C39">
        <v>0.41</v>
      </c>
      <c r="E39" s="252">
        <f>C39</f>
        <v>0.41</v>
      </c>
      <c r="F39" s="156"/>
    </row>
    <row r="40" spans="1:6">
      <c r="A40" s="254" t="s">
        <v>255</v>
      </c>
      <c r="C40">
        <v>0.38</v>
      </c>
      <c r="E40" s="252">
        <f t="shared" ref="E40:E47" si="0">C40</f>
        <v>0.38</v>
      </c>
      <c r="F40" s="156"/>
    </row>
    <row r="41" spans="1:6">
      <c r="A41" s="254" t="s">
        <v>256</v>
      </c>
      <c r="C41">
        <v>0.42</v>
      </c>
      <c r="E41" s="252">
        <f t="shared" si="0"/>
        <v>0.42</v>
      </c>
      <c r="F41" s="156"/>
    </row>
    <row r="42" spans="1:6">
      <c r="A42" s="254" t="s">
        <v>257</v>
      </c>
      <c r="C42">
        <v>0.04</v>
      </c>
      <c r="E42" s="252">
        <f t="shared" si="0"/>
        <v>0.04</v>
      </c>
      <c r="F42" s="156"/>
    </row>
    <row r="43" spans="1:6">
      <c r="A43" s="254" t="s">
        <v>258</v>
      </c>
      <c r="C43">
        <v>0.25</v>
      </c>
      <c r="E43" s="252">
        <f t="shared" si="0"/>
        <v>0.25</v>
      </c>
      <c r="F43" s="156"/>
    </row>
    <row r="44" spans="1:6">
      <c r="A44" s="254" t="s">
        <v>259</v>
      </c>
      <c r="C44">
        <v>0.18</v>
      </c>
      <c r="E44" s="252">
        <f t="shared" si="0"/>
        <v>0.18</v>
      </c>
      <c r="F44" s="156"/>
    </row>
    <row r="45" spans="1:6">
      <c r="A45" s="254" t="s">
        <v>237</v>
      </c>
      <c r="B45">
        <f>'Outil simplifié'!J17</f>
        <v>0</v>
      </c>
      <c r="C45" s="252">
        <f>(C29*B45)/$B$33</f>
        <v>0</v>
      </c>
      <c r="E45" s="252">
        <f t="shared" si="0"/>
        <v>0</v>
      </c>
      <c r="F45" s="156"/>
    </row>
    <row r="46" spans="1:6">
      <c r="A46" s="254" t="s">
        <v>239</v>
      </c>
      <c r="B46">
        <f>'Outil simplifié'!J20</f>
        <v>2</v>
      </c>
      <c r="C46" s="252">
        <f>(C30*B46)/$B$33</f>
        <v>6.5000000000000002E-2</v>
      </c>
      <c r="E46" s="252">
        <f t="shared" si="0"/>
        <v>6.5000000000000002E-2</v>
      </c>
      <c r="F46" s="156"/>
    </row>
    <row r="47" spans="1:6">
      <c r="A47" s="254" t="s">
        <v>240</v>
      </c>
      <c r="C47">
        <v>0.3</v>
      </c>
      <c r="E47" s="252">
        <f t="shared" si="0"/>
        <v>0.3</v>
      </c>
      <c r="F47" s="156"/>
    </row>
    <row r="48" spans="1:6">
      <c r="A48" s="254"/>
      <c r="F48" s="156"/>
    </row>
    <row r="49" spans="1:7">
      <c r="A49" s="254"/>
      <c r="F49" s="156"/>
    </row>
    <row r="50" spans="1:7" ht="16.5" thickBot="1">
      <c r="A50" s="255"/>
      <c r="B50" s="171"/>
      <c r="C50" s="1319">
        <f>SUM(C34:C47)</f>
        <v>7.2821333333333333</v>
      </c>
      <c r="D50" s="171"/>
      <c r="E50" s="171"/>
      <c r="F50" s="172"/>
    </row>
    <row r="57" spans="1:7">
      <c r="A57" t="s">
        <v>3955</v>
      </c>
      <c r="B57">
        <v>2025</v>
      </c>
      <c r="C57">
        <v>2030</v>
      </c>
      <c r="D57">
        <v>2035</v>
      </c>
      <c r="E57">
        <v>2040</v>
      </c>
      <c r="F57">
        <v>2045</v>
      </c>
      <c r="G57">
        <v>2050</v>
      </c>
    </row>
    <row r="58" spans="1:7">
      <c r="A58" t="s">
        <v>261</v>
      </c>
      <c r="B58">
        <v>9</v>
      </c>
      <c r="C58">
        <v>8</v>
      </c>
      <c r="D58">
        <v>7</v>
      </c>
      <c r="E58">
        <v>6</v>
      </c>
      <c r="F58">
        <v>3.5</v>
      </c>
      <c r="G58">
        <v>1</v>
      </c>
    </row>
    <row r="59" spans="1:7">
      <c r="A59" t="s">
        <v>46</v>
      </c>
      <c r="B59">
        <v>2</v>
      </c>
      <c r="C59">
        <v>1.6</v>
      </c>
      <c r="D59">
        <v>1.1000000000000001</v>
      </c>
      <c r="E59">
        <v>0.7</v>
      </c>
      <c r="F59">
        <v>0.4</v>
      </c>
      <c r="G59">
        <v>0</v>
      </c>
    </row>
    <row r="62" spans="1:7">
      <c r="A62" t="s">
        <v>3954</v>
      </c>
      <c r="B62">
        <v>2025</v>
      </c>
      <c r="C62">
        <v>2030</v>
      </c>
      <c r="D62">
        <v>2035</v>
      </c>
      <c r="E62">
        <v>2040</v>
      </c>
      <c r="F62">
        <v>2045</v>
      </c>
      <c r="G62">
        <v>2050</v>
      </c>
    </row>
    <row r="63" spans="1:7">
      <c r="A63" t="s">
        <v>261</v>
      </c>
      <c r="B63">
        <v>4</v>
      </c>
      <c r="C63">
        <v>3</v>
      </c>
      <c r="D63">
        <v>2</v>
      </c>
      <c r="E63">
        <v>1.2</v>
      </c>
      <c r="F63">
        <v>0.6</v>
      </c>
      <c r="G63">
        <v>0</v>
      </c>
    </row>
    <row r="64" spans="1:7">
      <c r="A64" t="s">
        <v>46</v>
      </c>
      <c r="B64">
        <v>5</v>
      </c>
      <c r="C64">
        <v>4</v>
      </c>
      <c r="D64">
        <v>3.5</v>
      </c>
      <c r="E64">
        <v>3</v>
      </c>
      <c r="F64">
        <v>1.5</v>
      </c>
      <c r="G64">
        <v>0.5</v>
      </c>
    </row>
  </sheetData>
  <customSheetViews>
    <customSheetView guid="{54A7C567-FA7D-467E-B353-ECB5E61AE756}" state="hidden">
      <selection activeCell="D20" sqref="D20"/>
      <pageMargins left="0" right="0" top="0" bottom="0" header="0" footer="0"/>
    </customSheetView>
  </customSheetView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9">
    <tabColor theme="3" tint="0.59999389629810485"/>
    <outlinePr summaryRight="0"/>
    <pageSetUpPr autoPageBreaks="0" fitToPage="1"/>
  </sheetPr>
  <dimension ref="A1:AE365"/>
  <sheetViews>
    <sheetView workbookViewId="0"/>
  </sheetViews>
  <sheetFormatPr baseColWidth="10" defaultColWidth="10" defaultRowHeight="12.75" outlineLevelRow="2" outlineLevelCol="1"/>
  <cols>
    <col min="1" max="1" width="9.375" style="413" customWidth="1" collapsed="1"/>
    <col min="2" max="2" width="36.625" style="413" hidden="1" customWidth="1" outlineLevel="1"/>
    <col min="3" max="3" width="48.375" style="113" customWidth="1" collapsed="1"/>
    <col min="4" max="4" width="10" style="112" hidden="1" customWidth="1" outlineLevel="1"/>
    <col min="5" max="5" width="64.875" style="113" hidden="1" customWidth="1" outlineLevel="1" collapsed="1"/>
    <col min="6" max="6" width="10.5" style="114" customWidth="1"/>
    <col min="7" max="7" width="6.25" style="112" customWidth="1"/>
    <col min="8" max="8" width="10.125" style="413" customWidth="1"/>
    <col min="9" max="9" width="9.375" style="413" customWidth="1"/>
    <col min="10" max="10" width="9.375" style="413" customWidth="1" collapsed="1"/>
    <col min="11" max="15" width="9.375" style="413" hidden="1" customWidth="1" outlineLevel="1"/>
    <col min="16" max="29" width="9.375" style="413" customWidth="1"/>
    <col min="30" max="30" width="55.875" style="694" customWidth="1" collapsed="1"/>
    <col min="31" max="31" width="64.875" style="113" hidden="1" customWidth="1" outlineLevel="1" collapsed="1"/>
    <col min="32" max="16384" width="10" style="413"/>
  </cols>
  <sheetData>
    <row r="1" spans="1:31" s="11" customFormat="1" ht="20.25">
      <c r="A1" s="4"/>
      <c r="B1" s="6"/>
      <c r="C1" s="5" t="s">
        <v>961</v>
      </c>
      <c r="D1" s="6"/>
      <c r="E1" s="7"/>
      <c r="F1" s="8"/>
      <c r="G1" s="9"/>
      <c r="H1" s="10"/>
      <c r="I1" s="6"/>
      <c r="J1" s="6"/>
      <c r="K1" s="10"/>
      <c r="L1" s="6"/>
      <c r="M1" s="6"/>
      <c r="N1" s="6"/>
      <c r="O1" s="6"/>
      <c r="P1" s="10" t="s">
        <v>3874</v>
      </c>
      <c r="Q1" s="6"/>
      <c r="R1" s="6"/>
      <c r="S1" s="6"/>
      <c r="T1" s="6"/>
      <c r="U1" s="6"/>
      <c r="V1" s="6"/>
      <c r="W1" s="6"/>
      <c r="X1" s="6"/>
      <c r="Y1" s="6"/>
      <c r="Z1" s="6"/>
      <c r="AA1" s="6"/>
      <c r="AB1" s="6"/>
      <c r="AC1" s="6"/>
      <c r="AD1" s="682" t="s">
        <v>962</v>
      </c>
      <c r="AE1" s="7"/>
    </row>
    <row r="2" spans="1:31" s="1217" customFormat="1" ht="15.75">
      <c r="A2" s="1210"/>
      <c r="B2" s="1211"/>
      <c r="C2" s="1212"/>
      <c r="D2" s="1211"/>
      <c r="E2" s="1213"/>
      <c r="F2" s="1214"/>
      <c r="G2" s="1214"/>
      <c r="H2" s="1213"/>
      <c r="I2" s="1211"/>
      <c r="J2" s="1211"/>
      <c r="K2" s="1211"/>
      <c r="L2" s="1211"/>
      <c r="M2" s="1211"/>
      <c r="N2" s="1211"/>
      <c r="O2" s="1215"/>
      <c r="P2" s="1211"/>
      <c r="Q2" s="1211"/>
      <c r="R2" s="1211"/>
      <c r="S2" s="1211"/>
      <c r="T2" s="1215"/>
      <c r="U2" s="1215"/>
      <c r="V2" s="1211"/>
      <c r="W2" s="1211"/>
      <c r="X2" s="1211"/>
      <c r="Y2" s="1211"/>
      <c r="Z2" s="1211"/>
      <c r="AA2" s="1211"/>
      <c r="AB2" s="1211"/>
      <c r="AC2" s="1211"/>
      <c r="AD2" s="1216"/>
      <c r="AE2" s="1213"/>
    </row>
    <row r="3" spans="1:31" s="14" customFormat="1" ht="12.75" customHeight="1" outlineLevel="1">
      <c r="A3" s="12"/>
      <c r="C3" s="13"/>
      <c r="D3" s="1179"/>
      <c r="E3" s="1180"/>
      <c r="F3" s="1180"/>
      <c r="H3" s="15"/>
      <c r="I3" s="37" t="s">
        <v>963</v>
      </c>
      <c r="J3" s="37" t="s">
        <v>963</v>
      </c>
      <c r="L3" s="14" t="s">
        <v>963</v>
      </c>
      <c r="O3" s="14" t="s">
        <v>963</v>
      </c>
      <c r="Q3" s="14" t="s">
        <v>964</v>
      </c>
      <c r="S3" s="14" t="s">
        <v>965</v>
      </c>
      <c r="T3" s="14" t="s">
        <v>964</v>
      </c>
      <c r="V3" s="14" t="s">
        <v>966</v>
      </c>
      <c r="X3" s="14" t="s">
        <v>967</v>
      </c>
      <c r="Y3" s="16" t="s">
        <v>966</v>
      </c>
      <c r="AA3" s="14" t="s">
        <v>968</v>
      </c>
      <c r="AB3" s="14" t="s">
        <v>968</v>
      </c>
      <c r="AC3" s="14" t="s">
        <v>969</v>
      </c>
      <c r="AD3" s="683"/>
      <c r="AE3" s="684"/>
    </row>
    <row r="4" spans="1:31" s="14" customFormat="1" ht="79.5" customHeight="1">
      <c r="A4" s="17" t="s">
        <v>970</v>
      </c>
      <c r="B4" s="17" t="s">
        <v>971</v>
      </c>
      <c r="C4" s="1987" t="s">
        <v>972</v>
      </c>
      <c r="D4" s="1181" t="s">
        <v>973</v>
      </c>
      <c r="E4" s="1990" t="s">
        <v>974</v>
      </c>
      <c r="F4" s="1992" t="s">
        <v>975</v>
      </c>
      <c r="G4" s="1993" t="s">
        <v>976</v>
      </c>
      <c r="H4" s="1995" t="s">
        <v>977</v>
      </c>
      <c r="I4" s="1996"/>
      <c r="J4" s="1997"/>
      <c r="K4" s="2000" t="s">
        <v>978</v>
      </c>
      <c r="L4" s="2001"/>
      <c r="M4" s="2001"/>
      <c r="N4" s="2001"/>
      <c r="O4" s="2001"/>
      <c r="P4" s="2001"/>
      <c r="Q4" s="2001"/>
      <c r="R4" s="2001"/>
      <c r="S4" s="2001"/>
      <c r="T4" s="2001"/>
      <c r="U4" s="2001"/>
      <c r="V4" s="2001"/>
      <c r="W4" s="2001"/>
      <c r="X4" s="2001"/>
      <c r="Y4" s="2002"/>
      <c r="Z4" s="2004" t="s">
        <v>979</v>
      </c>
      <c r="AA4" s="2005"/>
      <c r="AB4" s="2006"/>
      <c r="AC4" s="145" t="s">
        <v>980</v>
      </c>
      <c r="AD4" s="2010" t="s">
        <v>981</v>
      </c>
      <c r="AE4" s="1998" t="s">
        <v>982</v>
      </c>
    </row>
    <row r="5" spans="1:31" s="14" customFormat="1" ht="12.75" customHeight="1">
      <c r="A5" s="1975" t="s">
        <v>983</v>
      </c>
      <c r="B5" s="1340"/>
      <c r="C5" s="1988"/>
      <c r="D5" s="1977" t="s">
        <v>984</v>
      </c>
      <c r="E5" s="1991"/>
      <c r="F5" s="1985"/>
      <c r="G5" s="1986"/>
      <c r="H5" s="1978" t="s">
        <v>985</v>
      </c>
      <c r="I5" s="1979"/>
      <c r="J5" s="1980"/>
      <c r="K5" s="1984" t="s">
        <v>986</v>
      </c>
      <c r="L5" s="1984"/>
      <c r="M5" s="1984"/>
      <c r="N5" s="1984"/>
      <c r="O5" s="1984"/>
      <c r="P5" s="1984" t="s">
        <v>987</v>
      </c>
      <c r="Q5" s="1984"/>
      <c r="R5" s="1984"/>
      <c r="S5" s="1984"/>
      <c r="T5" s="1984"/>
      <c r="U5" s="1984" t="s">
        <v>988</v>
      </c>
      <c r="V5" s="1984"/>
      <c r="W5" s="1984"/>
      <c r="X5" s="1984"/>
      <c r="Y5" s="1984"/>
      <c r="Z5" s="2012" t="s">
        <v>989</v>
      </c>
      <c r="AA5" s="2013"/>
      <c r="AB5" s="2014"/>
      <c r="AC5" s="146"/>
      <c r="AD5" s="2011"/>
      <c r="AE5" s="1999"/>
    </row>
    <row r="6" spans="1:31" s="14" customFormat="1" ht="25.5" customHeight="1">
      <c r="A6" s="1976"/>
      <c r="B6" s="1341"/>
      <c r="C6" s="1988"/>
      <c r="D6" s="1977"/>
      <c r="E6" s="1991"/>
      <c r="F6" s="1985" t="s">
        <v>990</v>
      </c>
      <c r="G6" s="1986"/>
      <c r="H6" s="1981"/>
      <c r="I6" s="1982"/>
      <c r="J6" s="1983"/>
      <c r="K6" s="2003" t="s">
        <v>991</v>
      </c>
      <c r="L6" s="2003"/>
      <c r="M6" s="2003"/>
      <c r="N6" s="2003"/>
      <c r="O6" s="2003"/>
      <c r="P6" s="2003" t="s">
        <v>992</v>
      </c>
      <c r="Q6" s="2003"/>
      <c r="R6" s="2003"/>
      <c r="S6" s="2003"/>
      <c r="T6" s="2003"/>
      <c r="U6" s="2003" t="s">
        <v>993</v>
      </c>
      <c r="V6" s="2003"/>
      <c r="W6" s="2003"/>
      <c r="X6" s="2003"/>
      <c r="Y6" s="2003"/>
      <c r="Z6" s="2007" t="s">
        <v>994</v>
      </c>
      <c r="AA6" s="2008"/>
      <c r="AB6" s="2009"/>
      <c r="AC6" s="147"/>
      <c r="AD6" s="2011"/>
      <c r="AE6" s="1999"/>
    </row>
    <row r="7" spans="1:31" s="14" customFormat="1" ht="52.5" customHeight="1">
      <c r="A7" s="18"/>
      <c r="B7" s="18"/>
      <c r="C7" s="1989" t="s">
        <v>995</v>
      </c>
      <c r="D7" s="1179"/>
      <c r="E7" s="1182" t="s">
        <v>199</v>
      </c>
      <c r="F7" s="1986"/>
      <c r="G7" s="1986"/>
      <c r="H7" s="19" t="s">
        <v>265</v>
      </c>
      <c r="I7" s="20" t="s">
        <v>996</v>
      </c>
      <c r="J7" s="20" t="s">
        <v>974</v>
      </c>
      <c r="K7" s="21" t="s">
        <v>265</v>
      </c>
      <c r="L7" s="141" t="s">
        <v>997</v>
      </c>
      <c r="M7" s="141" t="s">
        <v>998</v>
      </c>
      <c r="N7" s="141" t="s">
        <v>999</v>
      </c>
      <c r="O7" s="22" t="s">
        <v>974</v>
      </c>
      <c r="P7" s="21" t="s">
        <v>265</v>
      </c>
      <c r="Q7" s="141" t="s">
        <v>997</v>
      </c>
      <c r="R7" s="141" t="s">
        <v>1000</v>
      </c>
      <c r="S7" s="141" t="s">
        <v>999</v>
      </c>
      <c r="T7" s="22" t="s">
        <v>974</v>
      </c>
      <c r="U7" s="21" t="s">
        <v>265</v>
      </c>
      <c r="V7" s="141" t="s">
        <v>997</v>
      </c>
      <c r="W7" s="141" t="s">
        <v>1000</v>
      </c>
      <c r="X7" s="141" t="s">
        <v>999</v>
      </c>
      <c r="Y7" s="22" t="s">
        <v>974</v>
      </c>
      <c r="Z7" s="21" t="s">
        <v>265</v>
      </c>
      <c r="AA7" s="22" t="s">
        <v>996</v>
      </c>
      <c r="AB7" s="22" t="s">
        <v>974</v>
      </c>
      <c r="AC7" s="141" t="s">
        <v>1001</v>
      </c>
      <c r="AD7" s="1974" t="s">
        <v>1002</v>
      </c>
      <c r="AE7" s="685" t="s">
        <v>1003</v>
      </c>
    </row>
    <row r="8" spans="1:31" s="25" customFormat="1" ht="48.75" customHeight="1">
      <c r="A8" s="23"/>
      <c r="B8" s="23"/>
      <c r="C8" s="1989"/>
      <c r="D8" s="1179"/>
      <c r="E8" s="1182"/>
      <c r="F8" s="1986"/>
      <c r="G8" s="1986"/>
      <c r="H8" s="686" t="s">
        <v>265</v>
      </c>
      <c r="I8" s="24" t="s">
        <v>1004</v>
      </c>
      <c r="J8" s="24" t="s">
        <v>982</v>
      </c>
      <c r="K8" s="687" t="s">
        <v>265</v>
      </c>
      <c r="L8" s="144" t="s">
        <v>1005</v>
      </c>
      <c r="M8" s="144" t="s">
        <v>3663</v>
      </c>
      <c r="N8" s="144" t="s">
        <v>3664</v>
      </c>
      <c r="O8" s="142" t="s">
        <v>982</v>
      </c>
      <c r="P8" s="687" t="s">
        <v>265</v>
      </c>
      <c r="Q8" s="144" t="s">
        <v>1005</v>
      </c>
      <c r="R8" s="144" t="s">
        <v>3663</v>
      </c>
      <c r="S8" s="144" t="s">
        <v>3664</v>
      </c>
      <c r="T8" s="142" t="s">
        <v>982</v>
      </c>
      <c r="U8" s="687" t="s">
        <v>265</v>
      </c>
      <c r="V8" s="144" t="s">
        <v>1005</v>
      </c>
      <c r="W8" s="144" t="s">
        <v>3663</v>
      </c>
      <c r="X8" s="144" t="s">
        <v>3664</v>
      </c>
      <c r="Y8" s="142" t="s">
        <v>982</v>
      </c>
      <c r="Z8" s="687" t="s">
        <v>265</v>
      </c>
      <c r="AA8" s="142" t="s">
        <v>1004</v>
      </c>
      <c r="AB8" s="142" t="s">
        <v>982</v>
      </c>
      <c r="AC8" s="144" t="s">
        <v>1006</v>
      </c>
      <c r="AD8" s="1974"/>
      <c r="AE8" s="685"/>
    </row>
    <row r="9" spans="1:31" s="25" customFormat="1" ht="18.75" customHeight="1">
      <c r="A9" s="26"/>
      <c r="B9" s="26"/>
      <c r="C9" s="27"/>
      <c r="D9" s="1179"/>
      <c r="E9" s="1182"/>
      <c r="F9" s="688"/>
      <c r="G9" s="1994"/>
      <c r="H9" s="28" t="s">
        <v>1007</v>
      </c>
      <c r="I9" s="28" t="s">
        <v>1007</v>
      </c>
      <c r="J9" s="28" t="s">
        <v>1007</v>
      </c>
      <c r="K9" s="206" t="s">
        <v>1008</v>
      </c>
      <c r="L9" s="206" t="s">
        <v>1008</v>
      </c>
      <c r="M9" s="143" t="s">
        <v>1008</v>
      </c>
      <c r="N9" s="143" t="s">
        <v>1008</v>
      </c>
      <c r="O9" s="206" t="s">
        <v>1008</v>
      </c>
      <c r="P9" s="206" t="s">
        <v>1008</v>
      </c>
      <c r="Q9" s="206" t="s">
        <v>1008</v>
      </c>
      <c r="R9" s="143" t="s">
        <v>1008</v>
      </c>
      <c r="S9" s="143" t="s">
        <v>1008</v>
      </c>
      <c r="T9" s="206" t="s">
        <v>1008</v>
      </c>
      <c r="U9" s="206" t="s">
        <v>1008</v>
      </c>
      <c r="V9" s="206" t="s">
        <v>1008</v>
      </c>
      <c r="W9" s="143" t="s">
        <v>1008</v>
      </c>
      <c r="X9" s="143" t="s">
        <v>1008</v>
      </c>
      <c r="Y9" s="206" t="s">
        <v>1008</v>
      </c>
      <c r="Z9" s="207" t="s">
        <v>1009</v>
      </c>
      <c r="AA9" s="207" t="s">
        <v>1009</v>
      </c>
      <c r="AB9" s="207" t="s">
        <v>1009</v>
      </c>
      <c r="AC9" s="148" t="s">
        <v>1010</v>
      </c>
      <c r="AD9" s="689"/>
      <c r="AE9" s="690"/>
    </row>
    <row r="10" spans="1:31" s="305" customFormat="1">
      <c r="A10" s="298" t="s">
        <v>3947</v>
      </c>
      <c r="B10" s="691"/>
      <c r="C10" s="41" t="s">
        <v>1011</v>
      </c>
      <c r="D10" s="40"/>
      <c r="E10" s="41"/>
      <c r="F10" s="42" t="s">
        <v>1012</v>
      </c>
      <c r="G10" s="43"/>
      <c r="H10" s="299"/>
      <c r="I10" s="299"/>
      <c r="J10" s="299"/>
      <c r="K10" s="300"/>
      <c r="L10" s="301"/>
      <c r="M10" s="301"/>
      <c r="N10" s="301"/>
      <c r="O10" s="302"/>
      <c r="P10" s="300"/>
      <c r="Q10" s="301"/>
      <c r="R10" s="301"/>
      <c r="S10" s="301"/>
      <c r="T10" s="302"/>
      <c r="U10" s="303"/>
      <c r="V10" s="301"/>
      <c r="W10" s="301"/>
      <c r="X10" s="301"/>
      <c r="Y10" s="301"/>
      <c r="Z10" s="303"/>
      <c r="AA10" s="301"/>
      <c r="AB10" s="301"/>
      <c r="AC10" s="301"/>
      <c r="AD10" s="304" t="s">
        <v>1013</v>
      </c>
      <c r="AE10" s="41"/>
    </row>
    <row r="11" spans="1:31" s="305" customFormat="1" ht="14.25">
      <c r="A11" s="306" t="s">
        <v>1014</v>
      </c>
      <c r="B11" s="217" t="s">
        <v>1015</v>
      </c>
      <c r="C11" s="45" t="s">
        <v>1016</v>
      </c>
      <c r="D11" s="45" t="s">
        <v>1017</v>
      </c>
      <c r="E11" s="45" t="s">
        <v>1018</v>
      </c>
      <c r="F11" s="78" t="s">
        <v>1012</v>
      </c>
      <c r="G11" s="47" t="s">
        <v>1019</v>
      </c>
      <c r="H11" s="33">
        <v>1300000</v>
      </c>
      <c r="I11" s="85">
        <v>1140000</v>
      </c>
      <c r="J11" s="34">
        <v>167000</v>
      </c>
      <c r="K11" s="35">
        <v>2250</v>
      </c>
      <c r="L11" s="307">
        <v>2000</v>
      </c>
      <c r="M11" s="36">
        <v>2000</v>
      </c>
      <c r="N11" s="36">
        <v>0</v>
      </c>
      <c r="O11" s="36">
        <v>257</v>
      </c>
      <c r="P11" s="35">
        <v>132</v>
      </c>
      <c r="Q11" s="307">
        <v>123</v>
      </c>
      <c r="R11" s="36">
        <v>123</v>
      </c>
      <c r="S11" s="36">
        <v>0</v>
      </c>
      <c r="T11" s="36">
        <v>9.2100000000000009</v>
      </c>
      <c r="U11" s="35">
        <v>2120</v>
      </c>
      <c r="V11" s="307">
        <v>1870</v>
      </c>
      <c r="W11" s="36">
        <v>1870</v>
      </c>
      <c r="X11" s="36">
        <v>0</v>
      </c>
      <c r="Y11" s="36">
        <v>248</v>
      </c>
      <c r="Z11" s="35">
        <v>861</v>
      </c>
      <c r="AA11" s="307">
        <v>801</v>
      </c>
      <c r="AB11" s="36">
        <v>60.5</v>
      </c>
      <c r="AC11" s="308">
        <v>0</v>
      </c>
      <c r="AD11" s="309" t="s">
        <v>1020</v>
      </c>
      <c r="AE11" s="45" t="s">
        <v>1021</v>
      </c>
    </row>
    <row r="12" spans="1:31" s="305" customFormat="1" ht="14.25">
      <c r="A12" s="306" t="s">
        <v>1022</v>
      </c>
      <c r="B12" s="217" t="s">
        <v>1023</v>
      </c>
      <c r="C12" s="45" t="s">
        <v>1024</v>
      </c>
      <c r="D12" s="45" t="s">
        <v>1025</v>
      </c>
      <c r="E12" s="45" t="s">
        <v>1026</v>
      </c>
      <c r="F12" s="78" t="s">
        <v>1012</v>
      </c>
      <c r="G12" s="47" t="s">
        <v>1019</v>
      </c>
      <c r="H12" s="33">
        <v>1230000</v>
      </c>
      <c r="I12" s="85">
        <v>1070000</v>
      </c>
      <c r="J12" s="34">
        <v>167000</v>
      </c>
      <c r="K12" s="35">
        <v>2060</v>
      </c>
      <c r="L12" s="307">
        <v>1800</v>
      </c>
      <c r="M12" s="36">
        <v>1800</v>
      </c>
      <c r="N12" s="36">
        <v>0</v>
      </c>
      <c r="O12" s="36">
        <v>257</v>
      </c>
      <c r="P12" s="35">
        <v>117</v>
      </c>
      <c r="Q12" s="307">
        <v>108</v>
      </c>
      <c r="R12" s="36">
        <v>108</v>
      </c>
      <c r="S12" s="36">
        <v>0</v>
      </c>
      <c r="T12" s="36">
        <v>9.2100000000000009</v>
      </c>
      <c r="U12" s="35">
        <v>1940</v>
      </c>
      <c r="V12" s="307">
        <v>1690</v>
      </c>
      <c r="W12" s="36">
        <v>1690</v>
      </c>
      <c r="X12" s="36">
        <v>0</v>
      </c>
      <c r="Y12" s="36">
        <v>248</v>
      </c>
      <c r="Z12" s="35">
        <v>822</v>
      </c>
      <c r="AA12" s="307">
        <v>761</v>
      </c>
      <c r="AB12" s="36">
        <v>60.5</v>
      </c>
      <c r="AC12" s="308">
        <v>0</v>
      </c>
      <c r="AD12" s="309" t="s">
        <v>1027</v>
      </c>
      <c r="AE12" s="45" t="s">
        <v>1028</v>
      </c>
    </row>
    <row r="13" spans="1:31" s="305" customFormat="1" ht="14.25">
      <c r="A13" s="306" t="s">
        <v>1029</v>
      </c>
      <c r="B13" s="217" t="s">
        <v>1030</v>
      </c>
      <c r="C13" s="45" t="s">
        <v>1031</v>
      </c>
      <c r="D13" s="45" t="s">
        <v>1032</v>
      </c>
      <c r="E13" s="45" t="s">
        <v>1033</v>
      </c>
      <c r="F13" s="78" t="s">
        <v>1012</v>
      </c>
      <c r="G13" s="47" t="s">
        <v>1019</v>
      </c>
      <c r="H13" s="33">
        <v>846000</v>
      </c>
      <c r="I13" s="85">
        <v>736000</v>
      </c>
      <c r="J13" s="34">
        <v>111000</v>
      </c>
      <c r="K13" s="38">
        <v>1500</v>
      </c>
      <c r="L13" s="307">
        <v>1330</v>
      </c>
      <c r="M13" s="36">
        <v>1330</v>
      </c>
      <c r="N13" s="36">
        <v>0</v>
      </c>
      <c r="O13" s="36">
        <v>170</v>
      </c>
      <c r="P13" s="38">
        <v>105</v>
      </c>
      <c r="Q13" s="307">
        <v>99.3</v>
      </c>
      <c r="R13" s="36">
        <v>99.3</v>
      </c>
      <c r="S13" s="36">
        <v>0</v>
      </c>
      <c r="T13" s="36">
        <v>6.08</v>
      </c>
      <c r="U13" s="38">
        <v>1390</v>
      </c>
      <c r="V13" s="307">
        <v>1230</v>
      </c>
      <c r="W13" s="36">
        <v>1230</v>
      </c>
      <c r="X13" s="36">
        <v>0</v>
      </c>
      <c r="Y13" s="36">
        <v>164</v>
      </c>
      <c r="Z13" s="38">
        <v>535</v>
      </c>
      <c r="AA13" s="89">
        <v>495</v>
      </c>
      <c r="AB13" s="39">
        <v>40</v>
      </c>
      <c r="AC13" s="308">
        <v>0</v>
      </c>
      <c r="AD13" s="109" t="s">
        <v>1034</v>
      </c>
      <c r="AE13" s="45" t="s">
        <v>1035</v>
      </c>
    </row>
    <row r="14" spans="1:31" s="305" customFormat="1" ht="14.25">
      <c r="A14" s="306" t="s">
        <v>1036</v>
      </c>
      <c r="B14" s="217" t="s">
        <v>1037</v>
      </c>
      <c r="C14" s="45" t="s">
        <v>1038</v>
      </c>
      <c r="D14" s="45" t="s">
        <v>1039</v>
      </c>
      <c r="E14" s="45" t="s">
        <v>1040</v>
      </c>
      <c r="F14" s="78" t="s">
        <v>1012</v>
      </c>
      <c r="G14" s="47" t="s">
        <v>1019</v>
      </c>
      <c r="H14" s="33">
        <v>188000</v>
      </c>
      <c r="I14" s="85">
        <v>164000</v>
      </c>
      <c r="J14" s="34">
        <v>24300</v>
      </c>
      <c r="K14" s="38">
        <v>320</v>
      </c>
      <c r="L14" s="307">
        <v>283</v>
      </c>
      <c r="M14" s="36">
        <v>283</v>
      </c>
      <c r="N14" s="36">
        <v>0</v>
      </c>
      <c r="O14" s="36">
        <v>37.299999999999997</v>
      </c>
      <c r="P14" s="38">
        <v>23</v>
      </c>
      <c r="Q14" s="307">
        <v>21.7</v>
      </c>
      <c r="R14" s="36">
        <v>21.7</v>
      </c>
      <c r="S14" s="36">
        <v>0</v>
      </c>
      <c r="T14" s="36">
        <v>1.34</v>
      </c>
      <c r="U14" s="38">
        <v>297</v>
      </c>
      <c r="V14" s="307">
        <v>261</v>
      </c>
      <c r="W14" s="36">
        <v>261</v>
      </c>
      <c r="X14" s="36">
        <v>0</v>
      </c>
      <c r="Y14" s="36">
        <v>35.9</v>
      </c>
      <c r="Z14" s="38">
        <v>121</v>
      </c>
      <c r="AA14" s="89">
        <v>112</v>
      </c>
      <c r="AB14" s="39">
        <v>8.7799999999999994</v>
      </c>
      <c r="AC14" s="308">
        <v>0</v>
      </c>
      <c r="AD14" s="109" t="s">
        <v>1041</v>
      </c>
      <c r="AE14" s="45" t="s">
        <v>1042</v>
      </c>
    </row>
    <row r="15" spans="1:31" s="305" customFormat="1" ht="14.25">
      <c r="A15" s="306" t="s">
        <v>524</v>
      </c>
      <c r="B15" s="217" t="s">
        <v>1043</v>
      </c>
      <c r="C15" s="45" t="s">
        <v>1044</v>
      </c>
      <c r="D15" s="45" t="s">
        <v>1045</v>
      </c>
      <c r="E15" s="45" t="s">
        <v>1046</v>
      </c>
      <c r="F15" s="78" t="s">
        <v>1012</v>
      </c>
      <c r="G15" s="47" t="s">
        <v>1019</v>
      </c>
      <c r="H15" s="33">
        <v>436000</v>
      </c>
      <c r="I15" s="85">
        <v>397000</v>
      </c>
      <c r="J15" s="34">
        <v>39000</v>
      </c>
      <c r="K15" s="38">
        <v>984</v>
      </c>
      <c r="L15" s="307">
        <v>924</v>
      </c>
      <c r="M15" s="36">
        <v>924</v>
      </c>
      <c r="N15" s="36">
        <v>0</v>
      </c>
      <c r="O15" s="36">
        <v>59.8</v>
      </c>
      <c r="P15" s="38">
        <v>109</v>
      </c>
      <c r="Q15" s="307">
        <v>107</v>
      </c>
      <c r="R15" s="36">
        <v>107</v>
      </c>
      <c r="S15" s="36">
        <v>0</v>
      </c>
      <c r="T15" s="36">
        <v>2.17</v>
      </c>
      <c r="U15" s="38">
        <v>875</v>
      </c>
      <c r="V15" s="307">
        <v>817</v>
      </c>
      <c r="W15" s="36">
        <v>817</v>
      </c>
      <c r="X15" s="36">
        <v>0</v>
      </c>
      <c r="Y15" s="36">
        <v>57.6</v>
      </c>
      <c r="Z15" s="38">
        <v>270</v>
      </c>
      <c r="AA15" s="89">
        <v>256</v>
      </c>
      <c r="AB15" s="39">
        <v>14.2</v>
      </c>
      <c r="AC15" s="308">
        <v>0</v>
      </c>
      <c r="AD15" s="109" t="s">
        <v>1047</v>
      </c>
      <c r="AE15" s="45" t="s">
        <v>1048</v>
      </c>
    </row>
    <row r="16" spans="1:31" s="305" customFormat="1" ht="14.25">
      <c r="A16" s="306" t="s">
        <v>525</v>
      </c>
      <c r="B16" s="217" t="s">
        <v>1049</v>
      </c>
      <c r="C16" s="45" t="s">
        <v>1050</v>
      </c>
      <c r="D16" s="45" t="s">
        <v>1051</v>
      </c>
      <c r="E16" s="45" t="s">
        <v>1052</v>
      </c>
      <c r="F16" s="78" t="s">
        <v>1012</v>
      </c>
      <c r="G16" s="47" t="s">
        <v>1019</v>
      </c>
      <c r="H16" s="33">
        <v>305000</v>
      </c>
      <c r="I16" s="85">
        <v>282000</v>
      </c>
      <c r="J16" s="34">
        <v>22800</v>
      </c>
      <c r="K16" s="38">
        <v>685</v>
      </c>
      <c r="L16" s="307">
        <v>650</v>
      </c>
      <c r="M16" s="36">
        <v>650</v>
      </c>
      <c r="N16" s="36">
        <v>0</v>
      </c>
      <c r="O16" s="36">
        <v>35</v>
      </c>
      <c r="P16" s="38">
        <v>48.1</v>
      </c>
      <c r="Q16" s="307">
        <v>46.8</v>
      </c>
      <c r="R16" s="36">
        <v>46.8</v>
      </c>
      <c r="S16" s="36">
        <v>0</v>
      </c>
      <c r="T16" s="36">
        <v>1.26</v>
      </c>
      <c r="U16" s="38">
        <v>637</v>
      </c>
      <c r="V16" s="307">
        <v>603</v>
      </c>
      <c r="W16" s="36">
        <v>603</v>
      </c>
      <c r="X16" s="36">
        <v>0</v>
      </c>
      <c r="Y16" s="36">
        <v>33.799999999999997</v>
      </c>
      <c r="Z16" s="38">
        <v>187</v>
      </c>
      <c r="AA16" s="89">
        <v>178</v>
      </c>
      <c r="AB16" s="39">
        <v>8.26</v>
      </c>
      <c r="AC16" s="308">
        <v>0</v>
      </c>
      <c r="AD16" s="109" t="s">
        <v>1053</v>
      </c>
      <c r="AE16" s="45" t="s">
        <v>1054</v>
      </c>
    </row>
    <row r="17" spans="1:31" s="305" customFormat="1" ht="14.25">
      <c r="A17" s="306" t="s">
        <v>526</v>
      </c>
      <c r="B17" s="217" t="s">
        <v>1055</v>
      </c>
      <c r="C17" s="45" t="s">
        <v>1056</v>
      </c>
      <c r="D17" s="45" t="s">
        <v>1057</v>
      </c>
      <c r="E17" s="45" t="s">
        <v>1058</v>
      </c>
      <c r="F17" s="78" t="s">
        <v>1012</v>
      </c>
      <c r="G17" s="47" t="s">
        <v>1019</v>
      </c>
      <c r="H17" s="33">
        <v>319000</v>
      </c>
      <c r="I17" s="85">
        <v>293000</v>
      </c>
      <c r="J17" s="34">
        <v>26400</v>
      </c>
      <c r="K17" s="38">
        <v>688</v>
      </c>
      <c r="L17" s="307">
        <v>647</v>
      </c>
      <c r="M17" s="36">
        <v>647</v>
      </c>
      <c r="N17" s="36">
        <v>0</v>
      </c>
      <c r="O17" s="36">
        <v>40.5</v>
      </c>
      <c r="P17" s="38">
        <v>46.7</v>
      </c>
      <c r="Q17" s="307">
        <v>45.3</v>
      </c>
      <c r="R17" s="36">
        <v>45.3</v>
      </c>
      <c r="S17" s="36">
        <v>0</v>
      </c>
      <c r="T17" s="36">
        <v>1.45</v>
      </c>
      <c r="U17" s="38">
        <v>641</v>
      </c>
      <c r="V17" s="307">
        <v>602</v>
      </c>
      <c r="W17" s="36">
        <v>602</v>
      </c>
      <c r="X17" s="36">
        <v>0</v>
      </c>
      <c r="Y17" s="36">
        <v>39</v>
      </c>
      <c r="Z17" s="38">
        <v>197</v>
      </c>
      <c r="AA17" s="89">
        <v>187</v>
      </c>
      <c r="AB17" s="39">
        <v>9.5399999999999991</v>
      </c>
      <c r="AC17" s="308">
        <v>0</v>
      </c>
      <c r="AD17" s="109" t="s">
        <v>1059</v>
      </c>
      <c r="AE17" s="45" t="s">
        <v>1060</v>
      </c>
    </row>
    <row r="18" spans="1:31" s="305" customFormat="1" ht="14.25">
      <c r="A18" s="306" t="s">
        <v>527</v>
      </c>
      <c r="B18" s="217" t="s">
        <v>1061</v>
      </c>
      <c r="C18" s="45" t="s">
        <v>1062</v>
      </c>
      <c r="D18" s="45" t="s">
        <v>1063</v>
      </c>
      <c r="E18" s="45" t="s">
        <v>1064</v>
      </c>
      <c r="F18" s="78" t="s">
        <v>1012</v>
      </c>
      <c r="G18" s="47" t="s">
        <v>1019</v>
      </c>
      <c r="H18" s="33">
        <v>777000</v>
      </c>
      <c r="I18" s="85">
        <v>693000</v>
      </c>
      <c r="J18" s="34">
        <v>84200</v>
      </c>
      <c r="K18" s="38">
        <v>1250</v>
      </c>
      <c r="L18" s="307">
        <v>1120</v>
      </c>
      <c r="M18" s="36">
        <v>1120</v>
      </c>
      <c r="N18" s="36">
        <v>0</v>
      </c>
      <c r="O18" s="36">
        <v>129</v>
      </c>
      <c r="P18" s="38">
        <v>91.2</v>
      </c>
      <c r="Q18" s="307">
        <v>86.5</v>
      </c>
      <c r="R18" s="36">
        <v>86.5</v>
      </c>
      <c r="S18" s="36">
        <v>0</v>
      </c>
      <c r="T18" s="36">
        <v>4.63</v>
      </c>
      <c r="U18" s="38">
        <v>1160</v>
      </c>
      <c r="V18" s="307">
        <v>1040</v>
      </c>
      <c r="W18" s="36">
        <v>1040</v>
      </c>
      <c r="X18" s="36">
        <v>0</v>
      </c>
      <c r="Y18" s="36">
        <v>124</v>
      </c>
      <c r="Z18" s="38">
        <v>423</v>
      </c>
      <c r="AA18" s="89">
        <v>393</v>
      </c>
      <c r="AB18" s="39">
        <v>30.3</v>
      </c>
      <c r="AC18" s="308">
        <v>0</v>
      </c>
      <c r="AD18" s="109" t="s">
        <v>1065</v>
      </c>
      <c r="AE18" s="45" t="s">
        <v>1066</v>
      </c>
    </row>
    <row r="19" spans="1:31" s="305" customFormat="1" ht="14.25">
      <c r="A19" s="306" t="s">
        <v>528</v>
      </c>
      <c r="B19" s="217" t="s">
        <v>1067</v>
      </c>
      <c r="C19" s="45" t="s">
        <v>1068</v>
      </c>
      <c r="D19" s="45" t="s">
        <v>1069</v>
      </c>
      <c r="E19" s="45" t="s">
        <v>1070</v>
      </c>
      <c r="F19" s="78" t="s">
        <v>1012</v>
      </c>
      <c r="G19" s="47" t="s">
        <v>1019</v>
      </c>
      <c r="H19" s="33">
        <v>1380000</v>
      </c>
      <c r="I19" s="85">
        <v>1220000</v>
      </c>
      <c r="J19" s="34">
        <v>166000</v>
      </c>
      <c r="K19" s="38">
        <v>2250</v>
      </c>
      <c r="L19" s="307">
        <v>2000</v>
      </c>
      <c r="M19" s="36">
        <v>2000</v>
      </c>
      <c r="N19" s="36">
        <v>0</v>
      </c>
      <c r="O19" s="36">
        <v>254</v>
      </c>
      <c r="P19" s="38">
        <v>172</v>
      </c>
      <c r="Q19" s="307">
        <v>163</v>
      </c>
      <c r="R19" s="36">
        <v>163</v>
      </c>
      <c r="S19" s="36">
        <v>0</v>
      </c>
      <c r="T19" s="36">
        <v>9.1300000000000008</v>
      </c>
      <c r="U19" s="38">
        <v>2080</v>
      </c>
      <c r="V19" s="307">
        <v>1840</v>
      </c>
      <c r="W19" s="36">
        <v>1840</v>
      </c>
      <c r="X19" s="36">
        <v>0</v>
      </c>
      <c r="Y19" s="36">
        <v>245</v>
      </c>
      <c r="Z19" s="38">
        <v>809</v>
      </c>
      <c r="AA19" s="89">
        <v>749</v>
      </c>
      <c r="AB19" s="39">
        <v>59.9</v>
      </c>
      <c r="AC19" s="308">
        <v>0</v>
      </c>
      <c r="AD19" s="109" t="s">
        <v>1071</v>
      </c>
      <c r="AE19" s="45" t="s">
        <v>1072</v>
      </c>
    </row>
    <row r="20" spans="1:31" s="305" customFormat="1" ht="14.25">
      <c r="A20" s="306" t="s">
        <v>529</v>
      </c>
      <c r="B20" s="217" t="s">
        <v>1073</v>
      </c>
      <c r="C20" s="45" t="s">
        <v>1074</v>
      </c>
      <c r="D20" s="45" t="s">
        <v>1075</v>
      </c>
      <c r="E20" s="45" t="s">
        <v>1076</v>
      </c>
      <c r="F20" s="78" t="s">
        <v>1012</v>
      </c>
      <c r="G20" s="47" t="s">
        <v>1019</v>
      </c>
      <c r="H20" s="33">
        <v>287000</v>
      </c>
      <c r="I20" s="85">
        <v>286000</v>
      </c>
      <c r="J20" s="34">
        <v>1690</v>
      </c>
      <c r="K20" s="38">
        <v>777</v>
      </c>
      <c r="L20" s="307">
        <v>773</v>
      </c>
      <c r="M20" s="36">
        <v>773</v>
      </c>
      <c r="N20" s="36">
        <v>0</v>
      </c>
      <c r="O20" s="36">
        <v>4.25</v>
      </c>
      <c r="P20" s="38">
        <v>45.7</v>
      </c>
      <c r="Q20" s="307">
        <v>45.6</v>
      </c>
      <c r="R20" s="36">
        <v>45.6</v>
      </c>
      <c r="S20" s="36">
        <v>0</v>
      </c>
      <c r="T20" s="36">
        <v>8.8999999999999996E-2</v>
      </c>
      <c r="U20" s="38">
        <v>732</v>
      </c>
      <c r="V20" s="307">
        <v>728</v>
      </c>
      <c r="W20" s="36">
        <v>728</v>
      </c>
      <c r="X20" s="36">
        <v>0</v>
      </c>
      <c r="Y20" s="36">
        <v>4.16</v>
      </c>
      <c r="Z20" s="38">
        <v>169</v>
      </c>
      <c r="AA20" s="89">
        <v>168</v>
      </c>
      <c r="AB20" s="39">
        <v>1.06</v>
      </c>
      <c r="AC20" s="308">
        <v>0</v>
      </c>
      <c r="AD20" s="109" t="s">
        <v>1077</v>
      </c>
      <c r="AE20" s="45" t="s">
        <v>1078</v>
      </c>
    </row>
    <row r="21" spans="1:31" s="305" customFormat="1" ht="14.25">
      <c r="A21" s="306" t="s">
        <v>530</v>
      </c>
      <c r="B21" s="217" t="s">
        <v>1079</v>
      </c>
      <c r="C21" s="45" t="s">
        <v>1080</v>
      </c>
      <c r="D21" s="45" t="s">
        <v>1081</v>
      </c>
      <c r="E21" s="45" t="s">
        <v>1082</v>
      </c>
      <c r="F21" s="78" t="s">
        <v>1012</v>
      </c>
      <c r="G21" s="47" t="s">
        <v>1019</v>
      </c>
      <c r="H21" s="33">
        <v>162000</v>
      </c>
      <c r="I21" s="85">
        <v>161000</v>
      </c>
      <c r="J21" s="34">
        <v>926</v>
      </c>
      <c r="K21" s="38">
        <v>438</v>
      </c>
      <c r="L21" s="307">
        <v>435</v>
      </c>
      <c r="M21" s="36">
        <v>435</v>
      </c>
      <c r="N21" s="36">
        <v>0</v>
      </c>
      <c r="O21" s="36">
        <v>2.33</v>
      </c>
      <c r="P21" s="38">
        <v>25.1</v>
      </c>
      <c r="Q21" s="307">
        <v>25.1</v>
      </c>
      <c r="R21" s="36">
        <v>25.1</v>
      </c>
      <c r="S21" s="36">
        <v>0</v>
      </c>
      <c r="T21" s="36">
        <v>4.87E-2</v>
      </c>
      <c r="U21" s="38">
        <v>413</v>
      </c>
      <c r="V21" s="307">
        <v>410</v>
      </c>
      <c r="W21" s="36">
        <v>410</v>
      </c>
      <c r="X21" s="36">
        <v>0</v>
      </c>
      <c r="Y21" s="36">
        <v>2.2799999999999998</v>
      </c>
      <c r="Z21" s="38">
        <v>95.7</v>
      </c>
      <c r="AA21" s="89">
        <v>95.1</v>
      </c>
      <c r="AB21" s="39">
        <v>0.57999999999999996</v>
      </c>
      <c r="AC21" s="308">
        <v>0</v>
      </c>
      <c r="AD21" s="109" t="s">
        <v>1083</v>
      </c>
      <c r="AE21" s="45" t="s">
        <v>1084</v>
      </c>
    </row>
    <row r="22" spans="1:31" s="305" customFormat="1" ht="14.25">
      <c r="A22" s="306" t="s">
        <v>531</v>
      </c>
      <c r="B22" s="217" t="s">
        <v>1085</v>
      </c>
      <c r="C22" s="45" t="s">
        <v>1086</v>
      </c>
      <c r="D22" s="45" t="s">
        <v>1087</v>
      </c>
      <c r="E22" s="45" t="s">
        <v>1088</v>
      </c>
      <c r="F22" s="78" t="s">
        <v>1012</v>
      </c>
      <c r="G22" s="47" t="s">
        <v>1019</v>
      </c>
      <c r="H22" s="33">
        <v>321000</v>
      </c>
      <c r="I22" s="85">
        <v>315000</v>
      </c>
      <c r="J22" s="34">
        <v>5450</v>
      </c>
      <c r="K22" s="38">
        <v>848</v>
      </c>
      <c r="L22" s="307">
        <v>838</v>
      </c>
      <c r="M22" s="36">
        <v>838</v>
      </c>
      <c r="N22" s="36">
        <v>0</v>
      </c>
      <c r="O22" s="36">
        <v>10.3</v>
      </c>
      <c r="P22" s="38">
        <v>55</v>
      </c>
      <c r="Q22" s="307">
        <v>54.7</v>
      </c>
      <c r="R22" s="36">
        <v>54.7</v>
      </c>
      <c r="S22" s="36">
        <v>0</v>
      </c>
      <c r="T22" s="36">
        <v>0.29499999999999998</v>
      </c>
      <c r="U22" s="38">
        <v>793</v>
      </c>
      <c r="V22" s="307">
        <v>783</v>
      </c>
      <c r="W22" s="36">
        <v>783</v>
      </c>
      <c r="X22" s="36">
        <v>0</v>
      </c>
      <c r="Y22" s="36">
        <v>10</v>
      </c>
      <c r="Z22" s="38">
        <v>187</v>
      </c>
      <c r="AA22" s="89">
        <v>185</v>
      </c>
      <c r="AB22" s="39">
        <v>2.4900000000000002</v>
      </c>
      <c r="AC22" s="308">
        <v>0</v>
      </c>
      <c r="AD22" s="109" t="s">
        <v>1089</v>
      </c>
      <c r="AE22" s="45" t="s">
        <v>1090</v>
      </c>
    </row>
    <row r="23" spans="1:31" s="305" customFormat="1">
      <c r="A23" s="306" t="s">
        <v>534</v>
      </c>
      <c r="B23" s="217" t="s">
        <v>1091</v>
      </c>
      <c r="C23" s="45" t="s">
        <v>1092</v>
      </c>
      <c r="D23" s="45" t="s">
        <v>1093</v>
      </c>
      <c r="E23" s="45" t="s">
        <v>1094</v>
      </c>
      <c r="F23" s="78" t="s">
        <v>1012</v>
      </c>
      <c r="G23" s="47" t="s">
        <v>328</v>
      </c>
      <c r="H23" s="84">
        <v>52500</v>
      </c>
      <c r="I23" s="85">
        <v>52500</v>
      </c>
      <c r="J23" s="85">
        <v>0</v>
      </c>
      <c r="K23" s="90">
        <v>118</v>
      </c>
      <c r="L23" s="307">
        <v>118</v>
      </c>
      <c r="M23" s="36">
        <v>118</v>
      </c>
      <c r="N23" s="36">
        <v>0</v>
      </c>
      <c r="O23" s="307">
        <v>0</v>
      </c>
      <c r="P23" s="90">
        <v>8.5299999999999994</v>
      </c>
      <c r="Q23" s="307">
        <v>8.5299999999999994</v>
      </c>
      <c r="R23" s="36">
        <v>8.5299999999999994</v>
      </c>
      <c r="S23" s="36">
        <v>0</v>
      </c>
      <c r="T23" s="307">
        <v>0</v>
      </c>
      <c r="U23" s="90">
        <v>110</v>
      </c>
      <c r="V23" s="307">
        <v>110</v>
      </c>
      <c r="W23" s="36">
        <v>110</v>
      </c>
      <c r="X23" s="36">
        <v>0</v>
      </c>
      <c r="Y23" s="307">
        <v>0</v>
      </c>
      <c r="Z23" s="90">
        <v>31.4</v>
      </c>
      <c r="AA23" s="89">
        <v>31.4</v>
      </c>
      <c r="AB23" s="89">
        <v>0</v>
      </c>
      <c r="AC23" s="308">
        <v>0</v>
      </c>
      <c r="AD23" s="109" t="s">
        <v>1095</v>
      </c>
      <c r="AE23" s="45" t="s">
        <v>1096</v>
      </c>
    </row>
    <row r="24" spans="1:31" s="305" customFormat="1">
      <c r="A24" s="306" t="s">
        <v>1097</v>
      </c>
      <c r="B24" s="217" t="s">
        <v>1098</v>
      </c>
      <c r="C24" s="45" t="s">
        <v>1099</v>
      </c>
      <c r="D24" s="45" t="s">
        <v>1100</v>
      </c>
      <c r="E24" s="45" t="s">
        <v>1101</v>
      </c>
      <c r="F24" s="78" t="s">
        <v>1012</v>
      </c>
      <c r="G24" s="47" t="s">
        <v>328</v>
      </c>
      <c r="H24" s="84">
        <v>258000</v>
      </c>
      <c r="I24" s="85">
        <v>258000</v>
      </c>
      <c r="J24" s="85">
        <v>0</v>
      </c>
      <c r="K24" s="90">
        <v>396</v>
      </c>
      <c r="L24" s="307">
        <v>396</v>
      </c>
      <c r="M24" s="36">
        <v>396</v>
      </c>
      <c r="N24" s="36">
        <v>0</v>
      </c>
      <c r="O24" s="307">
        <v>0</v>
      </c>
      <c r="P24" s="90">
        <v>29</v>
      </c>
      <c r="Q24" s="307">
        <v>29</v>
      </c>
      <c r="R24" s="36">
        <v>29</v>
      </c>
      <c r="S24" s="36">
        <v>0</v>
      </c>
      <c r="T24" s="307">
        <v>0</v>
      </c>
      <c r="U24" s="90">
        <v>367</v>
      </c>
      <c r="V24" s="307">
        <v>367</v>
      </c>
      <c r="W24" s="36">
        <v>367</v>
      </c>
      <c r="X24" s="36">
        <v>0</v>
      </c>
      <c r="Y24" s="307">
        <v>0</v>
      </c>
      <c r="Z24" s="90">
        <v>163</v>
      </c>
      <c r="AA24" s="89">
        <v>163</v>
      </c>
      <c r="AB24" s="89">
        <v>0</v>
      </c>
      <c r="AC24" s="308">
        <v>0</v>
      </c>
      <c r="AD24" s="109" t="s">
        <v>1102</v>
      </c>
      <c r="AE24" s="45" t="s">
        <v>1103</v>
      </c>
    </row>
    <row r="25" spans="1:31" s="305" customFormat="1">
      <c r="A25" s="306" t="s">
        <v>535</v>
      </c>
      <c r="B25" s="217" t="s">
        <v>1104</v>
      </c>
      <c r="C25" s="45" t="s">
        <v>1105</v>
      </c>
      <c r="D25" s="45" t="s">
        <v>1106</v>
      </c>
      <c r="E25" s="45" t="s">
        <v>1107</v>
      </c>
      <c r="F25" s="78" t="s">
        <v>1012</v>
      </c>
      <c r="G25" s="47" t="s">
        <v>328</v>
      </c>
      <c r="H25" s="84">
        <v>377000</v>
      </c>
      <c r="I25" s="85">
        <v>377000</v>
      </c>
      <c r="J25" s="85">
        <v>0</v>
      </c>
      <c r="K25" s="90">
        <v>550</v>
      </c>
      <c r="L25" s="307">
        <v>550</v>
      </c>
      <c r="M25" s="36">
        <v>550</v>
      </c>
      <c r="N25" s="36">
        <v>0</v>
      </c>
      <c r="O25" s="307">
        <v>0</v>
      </c>
      <c r="P25" s="90">
        <v>44.8</v>
      </c>
      <c r="Q25" s="307">
        <v>44.8</v>
      </c>
      <c r="R25" s="36">
        <v>44.8</v>
      </c>
      <c r="S25" s="36">
        <v>0</v>
      </c>
      <c r="T25" s="307">
        <v>0</v>
      </c>
      <c r="U25" s="90">
        <v>505</v>
      </c>
      <c r="V25" s="307">
        <v>505</v>
      </c>
      <c r="W25" s="36">
        <v>505</v>
      </c>
      <c r="X25" s="36">
        <v>0</v>
      </c>
      <c r="Y25" s="307">
        <v>0</v>
      </c>
      <c r="Z25" s="90">
        <v>244</v>
      </c>
      <c r="AA25" s="89">
        <v>244</v>
      </c>
      <c r="AB25" s="89">
        <v>0</v>
      </c>
      <c r="AC25" s="308">
        <v>0</v>
      </c>
      <c r="AD25" s="109" t="s">
        <v>1108</v>
      </c>
      <c r="AE25" s="45" t="s">
        <v>1109</v>
      </c>
    </row>
    <row r="26" spans="1:31" s="305" customFormat="1">
      <c r="A26" s="306" t="s">
        <v>1110</v>
      </c>
      <c r="B26" s="217" t="s">
        <v>1111</v>
      </c>
      <c r="C26" s="45" t="s">
        <v>1112</v>
      </c>
      <c r="D26" s="45" t="s">
        <v>1113</v>
      </c>
      <c r="E26" s="45" t="s">
        <v>1114</v>
      </c>
      <c r="F26" s="78" t="s">
        <v>1012</v>
      </c>
      <c r="G26" s="47" t="s">
        <v>328</v>
      </c>
      <c r="H26" s="84">
        <v>579000</v>
      </c>
      <c r="I26" s="85">
        <v>579000</v>
      </c>
      <c r="J26" s="85">
        <v>0</v>
      </c>
      <c r="K26" s="90">
        <v>822</v>
      </c>
      <c r="L26" s="307">
        <v>822</v>
      </c>
      <c r="M26" s="36">
        <v>822</v>
      </c>
      <c r="N26" s="36">
        <v>0</v>
      </c>
      <c r="O26" s="307">
        <v>0</v>
      </c>
      <c r="P26" s="90">
        <v>70.8</v>
      </c>
      <c r="Q26" s="307">
        <v>70.8</v>
      </c>
      <c r="R26" s="36">
        <v>70.8</v>
      </c>
      <c r="S26" s="36">
        <v>0</v>
      </c>
      <c r="T26" s="307">
        <v>0</v>
      </c>
      <c r="U26" s="90">
        <v>751</v>
      </c>
      <c r="V26" s="307">
        <v>751</v>
      </c>
      <c r="W26" s="36">
        <v>751</v>
      </c>
      <c r="X26" s="36">
        <v>0</v>
      </c>
      <c r="Y26" s="307">
        <v>0</v>
      </c>
      <c r="Z26" s="90">
        <v>379</v>
      </c>
      <c r="AA26" s="89">
        <v>379</v>
      </c>
      <c r="AB26" s="89">
        <v>0</v>
      </c>
      <c r="AC26" s="308">
        <v>0</v>
      </c>
      <c r="AD26" s="109" t="s">
        <v>1115</v>
      </c>
      <c r="AE26" s="45" t="s">
        <v>1116</v>
      </c>
    </row>
    <row r="27" spans="1:31" s="305" customFormat="1">
      <c r="A27" s="306" t="s">
        <v>1117</v>
      </c>
      <c r="B27" s="217" t="s">
        <v>1118</v>
      </c>
      <c r="C27" s="45" t="s">
        <v>1119</v>
      </c>
      <c r="D27" s="45" t="s">
        <v>1120</v>
      </c>
      <c r="E27" s="45" t="s">
        <v>1121</v>
      </c>
      <c r="F27" s="78" t="s">
        <v>1012</v>
      </c>
      <c r="G27" s="47" t="s">
        <v>328</v>
      </c>
      <c r="H27" s="84">
        <v>122000</v>
      </c>
      <c r="I27" s="85">
        <v>122000</v>
      </c>
      <c r="J27" s="85">
        <v>0</v>
      </c>
      <c r="K27" s="90">
        <v>229</v>
      </c>
      <c r="L27" s="307">
        <v>229</v>
      </c>
      <c r="M27" s="36">
        <v>229</v>
      </c>
      <c r="N27" s="36">
        <v>0</v>
      </c>
      <c r="O27" s="307">
        <v>0</v>
      </c>
      <c r="P27" s="90">
        <v>13.8</v>
      </c>
      <c r="Q27" s="307">
        <v>13.8</v>
      </c>
      <c r="R27" s="36">
        <v>13.8</v>
      </c>
      <c r="S27" s="36">
        <v>0</v>
      </c>
      <c r="T27" s="307">
        <v>0</v>
      </c>
      <c r="U27" s="90">
        <v>215</v>
      </c>
      <c r="V27" s="307">
        <v>215</v>
      </c>
      <c r="W27" s="36">
        <v>215</v>
      </c>
      <c r="X27" s="36">
        <v>0</v>
      </c>
      <c r="Y27" s="307">
        <v>0</v>
      </c>
      <c r="Z27" s="90">
        <v>76.5</v>
      </c>
      <c r="AA27" s="89">
        <v>76.5</v>
      </c>
      <c r="AB27" s="89">
        <v>0</v>
      </c>
      <c r="AC27" s="308">
        <v>0</v>
      </c>
      <c r="AD27" s="109" t="s">
        <v>1122</v>
      </c>
      <c r="AE27" s="45" t="s">
        <v>1123</v>
      </c>
    </row>
    <row r="28" spans="1:31" s="305" customFormat="1">
      <c r="A28" s="306" t="s">
        <v>537</v>
      </c>
      <c r="B28" s="217" t="s">
        <v>1124</v>
      </c>
      <c r="C28" s="45" t="s">
        <v>1125</v>
      </c>
      <c r="D28" s="45" t="s">
        <v>1126</v>
      </c>
      <c r="E28" s="45" t="s">
        <v>1127</v>
      </c>
      <c r="F28" s="78" t="s">
        <v>1012</v>
      </c>
      <c r="G28" s="47" t="s">
        <v>328</v>
      </c>
      <c r="H28" s="84">
        <v>153000</v>
      </c>
      <c r="I28" s="85">
        <v>153000</v>
      </c>
      <c r="J28" s="85">
        <v>0</v>
      </c>
      <c r="K28" s="90">
        <v>274</v>
      </c>
      <c r="L28" s="307">
        <v>274</v>
      </c>
      <c r="M28" s="36">
        <v>274</v>
      </c>
      <c r="N28" s="36">
        <v>0</v>
      </c>
      <c r="O28" s="307">
        <v>0</v>
      </c>
      <c r="P28" s="90">
        <v>18.100000000000001</v>
      </c>
      <c r="Q28" s="307">
        <v>18.100000000000001</v>
      </c>
      <c r="R28" s="36">
        <v>18.100000000000001</v>
      </c>
      <c r="S28" s="36">
        <v>0</v>
      </c>
      <c r="T28" s="307">
        <v>0</v>
      </c>
      <c r="U28" s="90">
        <v>256</v>
      </c>
      <c r="V28" s="307">
        <v>256</v>
      </c>
      <c r="W28" s="36">
        <v>256</v>
      </c>
      <c r="X28" s="36">
        <v>0</v>
      </c>
      <c r="Y28" s="307">
        <v>0</v>
      </c>
      <c r="Z28" s="90">
        <v>96</v>
      </c>
      <c r="AA28" s="89">
        <v>96</v>
      </c>
      <c r="AB28" s="89">
        <v>0</v>
      </c>
      <c r="AC28" s="308">
        <v>0</v>
      </c>
      <c r="AD28" s="109" t="s">
        <v>1128</v>
      </c>
      <c r="AE28" s="45" t="s">
        <v>1129</v>
      </c>
    </row>
    <row r="29" spans="1:31" s="305" customFormat="1">
      <c r="A29" s="306" t="s">
        <v>538</v>
      </c>
      <c r="B29" s="217" t="s">
        <v>1130</v>
      </c>
      <c r="C29" s="45" t="s">
        <v>1131</v>
      </c>
      <c r="D29" s="45" t="s">
        <v>1132</v>
      </c>
      <c r="E29" s="45" t="s">
        <v>1133</v>
      </c>
      <c r="F29" s="78" t="s">
        <v>1012</v>
      </c>
      <c r="G29" s="47" t="s">
        <v>328</v>
      </c>
      <c r="H29" s="84">
        <v>30800</v>
      </c>
      <c r="I29" s="85">
        <v>30800</v>
      </c>
      <c r="J29" s="85">
        <v>0</v>
      </c>
      <c r="K29" s="90">
        <v>30.3</v>
      </c>
      <c r="L29" s="307">
        <v>30.3</v>
      </c>
      <c r="M29" s="36">
        <v>30.3</v>
      </c>
      <c r="N29" s="36">
        <v>0</v>
      </c>
      <c r="O29" s="307">
        <v>0</v>
      </c>
      <c r="P29" s="90">
        <v>1.55</v>
      </c>
      <c r="Q29" s="307">
        <v>1.55</v>
      </c>
      <c r="R29" s="36">
        <v>1.55</v>
      </c>
      <c r="S29" s="36">
        <v>0</v>
      </c>
      <c r="T29" s="307">
        <v>0</v>
      </c>
      <c r="U29" s="90">
        <v>28.8</v>
      </c>
      <c r="V29" s="307">
        <v>28.8</v>
      </c>
      <c r="W29" s="36">
        <v>28.8</v>
      </c>
      <c r="X29" s="36">
        <v>0</v>
      </c>
      <c r="Y29" s="307">
        <v>0</v>
      </c>
      <c r="Z29" s="90">
        <v>6.75</v>
      </c>
      <c r="AA29" s="89">
        <v>6.75</v>
      </c>
      <c r="AB29" s="89">
        <v>0</v>
      </c>
      <c r="AC29" s="308">
        <v>0</v>
      </c>
      <c r="AD29" s="109" t="s">
        <v>1134</v>
      </c>
      <c r="AE29" s="45" t="s">
        <v>1135</v>
      </c>
    </row>
    <row r="30" spans="1:31" s="305" customFormat="1">
      <c r="A30" s="306" t="s">
        <v>540</v>
      </c>
      <c r="B30" s="217" t="s">
        <v>1136</v>
      </c>
      <c r="C30" s="45" t="s">
        <v>1137</v>
      </c>
      <c r="D30" s="45" t="s">
        <v>1138</v>
      </c>
      <c r="E30" s="45" t="s">
        <v>1139</v>
      </c>
      <c r="F30" s="78" t="s">
        <v>1012</v>
      </c>
      <c r="G30" s="47" t="s">
        <v>328</v>
      </c>
      <c r="H30" s="84">
        <v>44600</v>
      </c>
      <c r="I30" s="85">
        <v>44600</v>
      </c>
      <c r="J30" s="85">
        <v>0</v>
      </c>
      <c r="K30" s="90">
        <v>63.9</v>
      </c>
      <c r="L30" s="307">
        <v>63.9</v>
      </c>
      <c r="M30" s="36">
        <v>63.9</v>
      </c>
      <c r="N30" s="36">
        <v>0</v>
      </c>
      <c r="O30" s="307">
        <v>0</v>
      </c>
      <c r="P30" s="90">
        <v>5.38</v>
      </c>
      <c r="Q30" s="307">
        <v>5.38</v>
      </c>
      <c r="R30" s="36">
        <v>5.38</v>
      </c>
      <c r="S30" s="36">
        <v>0</v>
      </c>
      <c r="T30" s="307">
        <v>0</v>
      </c>
      <c r="U30" s="90">
        <v>58.6</v>
      </c>
      <c r="V30" s="307">
        <v>58.6</v>
      </c>
      <c r="W30" s="36">
        <v>58.6</v>
      </c>
      <c r="X30" s="36">
        <v>0</v>
      </c>
      <c r="Y30" s="307">
        <v>0</v>
      </c>
      <c r="Z30" s="90">
        <v>29.2</v>
      </c>
      <c r="AA30" s="89">
        <v>29.2</v>
      </c>
      <c r="AB30" s="89">
        <v>0</v>
      </c>
      <c r="AC30" s="308">
        <v>0</v>
      </c>
      <c r="AD30" s="109" t="s">
        <v>1140</v>
      </c>
      <c r="AE30" s="45" t="s">
        <v>1141</v>
      </c>
    </row>
    <row r="31" spans="1:31" s="305" customFormat="1" ht="14.25">
      <c r="A31" s="306" t="s">
        <v>1142</v>
      </c>
      <c r="B31" s="217" t="s">
        <v>1143</v>
      </c>
      <c r="C31" s="45" t="s">
        <v>1144</v>
      </c>
      <c r="D31" s="45" t="s">
        <v>1145</v>
      </c>
      <c r="E31" s="45" t="s">
        <v>1146</v>
      </c>
      <c r="F31" s="78" t="s">
        <v>1012</v>
      </c>
      <c r="G31" s="310" t="s">
        <v>1147</v>
      </c>
      <c r="H31" s="84">
        <v>21</v>
      </c>
      <c r="I31" s="85">
        <v>21</v>
      </c>
      <c r="J31" s="85">
        <v>0</v>
      </c>
      <c r="K31" s="90">
        <v>0.107</v>
      </c>
      <c r="L31" s="307">
        <v>0.107</v>
      </c>
      <c r="M31" s="36">
        <v>0.107</v>
      </c>
      <c r="N31" s="36">
        <v>0</v>
      </c>
      <c r="O31" s="307">
        <v>0</v>
      </c>
      <c r="P31" s="90">
        <v>2.2800000000000001E-2</v>
      </c>
      <c r="Q31" s="307">
        <v>2.2800000000000001E-2</v>
      </c>
      <c r="R31" s="36">
        <v>2.2800000000000001E-2</v>
      </c>
      <c r="S31" s="36">
        <v>0</v>
      </c>
      <c r="T31" s="307">
        <v>0</v>
      </c>
      <c r="U31" s="90">
        <v>8.3699999999999997E-2</v>
      </c>
      <c r="V31" s="307">
        <v>8.3699999999999997E-2</v>
      </c>
      <c r="W31" s="36">
        <v>8.3699999999999997E-2</v>
      </c>
      <c r="X31" s="36">
        <v>0</v>
      </c>
      <c r="Y31" s="307">
        <v>0</v>
      </c>
      <c r="Z31" s="90">
        <v>5.1700000000000001E-3</v>
      </c>
      <c r="AA31" s="89">
        <v>5.1700000000000001E-3</v>
      </c>
      <c r="AB31" s="89">
        <v>0</v>
      </c>
      <c r="AC31" s="308">
        <v>0</v>
      </c>
      <c r="AD31" s="109" t="s">
        <v>1148</v>
      </c>
      <c r="AE31" s="45" t="s">
        <v>1149</v>
      </c>
    </row>
    <row r="32" spans="1:31" s="305" customFormat="1" ht="14.25">
      <c r="A32" s="306" t="s">
        <v>1150</v>
      </c>
      <c r="B32" s="217" t="s">
        <v>1151</v>
      </c>
      <c r="C32" s="45" t="s">
        <v>1152</v>
      </c>
      <c r="D32" s="45" t="s">
        <v>1153</v>
      </c>
      <c r="E32" s="45" t="s">
        <v>1154</v>
      </c>
      <c r="F32" s="78" t="s">
        <v>1012</v>
      </c>
      <c r="G32" s="310" t="s">
        <v>1147</v>
      </c>
      <c r="H32" s="84">
        <v>24.6</v>
      </c>
      <c r="I32" s="85">
        <v>24.6</v>
      </c>
      <c r="J32" s="85">
        <v>0</v>
      </c>
      <c r="K32" s="90">
        <v>0.125</v>
      </c>
      <c r="L32" s="307">
        <v>0.125</v>
      </c>
      <c r="M32" s="36">
        <v>0.125</v>
      </c>
      <c r="N32" s="36">
        <v>0</v>
      </c>
      <c r="O32" s="307">
        <v>0</v>
      </c>
      <c r="P32" s="90">
        <v>2.6800000000000001E-2</v>
      </c>
      <c r="Q32" s="307">
        <v>2.6800000000000001E-2</v>
      </c>
      <c r="R32" s="36">
        <v>2.6800000000000001E-2</v>
      </c>
      <c r="S32" s="36">
        <v>0</v>
      </c>
      <c r="T32" s="307">
        <v>0</v>
      </c>
      <c r="U32" s="90">
        <v>9.8199999999999996E-2</v>
      </c>
      <c r="V32" s="307">
        <v>9.8199999999999996E-2</v>
      </c>
      <c r="W32" s="36">
        <v>9.8199999999999996E-2</v>
      </c>
      <c r="X32" s="36">
        <v>0</v>
      </c>
      <c r="Y32" s="307">
        <v>0</v>
      </c>
      <c r="Z32" s="90">
        <v>6.0400000000000002E-3</v>
      </c>
      <c r="AA32" s="89">
        <v>6.0400000000000002E-3</v>
      </c>
      <c r="AB32" s="89">
        <v>0</v>
      </c>
      <c r="AC32" s="308">
        <v>0</v>
      </c>
      <c r="AD32" s="109" t="s">
        <v>1155</v>
      </c>
      <c r="AE32" s="45" t="s">
        <v>1156</v>
      </c>
    </row>
    <row r="33" spans="1:31" s="305" customFormat="1" ht="14.25">
      <c r="A33" s="306" t="s">
        <v>1157</v>
      </c>
      <c r="B33" s="217" t="s">
        <v>1158</v>
      </c>
      <c r="C33" s="45" t="s">
        <v>1159</v>
      </c>
      <c r="D33" s="45" t="s">
        <v>1160</v>
      </c>
      <c r="E33" s="45" t="s">
        <v>1161</v>
      </c>
      <c r="F33" s="78" t="s">
        <v>1012</v>
      </c>
      <c r="G33" s="310" t="s">
        <v>1147</v>
      </c>
      <c r="H33" s="84">
        <v>28.6</v>
      </c>
      <c r="I33" s="85">
        <v>28.6</v>
      </c>
      <c r="J33" s="85">
        <v>0</v>
      </c>
      <c r="K33" s="90">
        <v>0.14599999999999999</v>
      </c>
      <c r="L33" s="307">
        <v>0.14599999999999999</v>
      </c>
      <c r="M33" s="36">
        <v>0.14599999999999999</v>
      </c>
      <c r="N33" s="36">
        <v>0</v>
      </c>
      <c r="O33" s="307">
        <v>0</v>
      </c>
      <c r="P33" s="90">
        <v>3.1199999999999999E-2</v>
      </c>
      <c r="Q33" s="307">
        <v>3.1199999999999999E-2</v>
      </c>
      <c r="R33" s="36">
        <v>3.1199999999999999E-2</v>
      </c>
      <c r="S33" s="36">
        <v>0</v>
      </c>
      <c r="T33" s="307">
        <v>0</v>
      </c>
      <c r="U33" s="90">
        <v>0.114</v>
      </c>
      <c r="V33" s="307">
        <v>0.114</v>
      </c>
      <c r="W33" s="36">
        <v>0.114</v>
      </c>
      <c r="X33" s="36">
        <v>0</v>
      </c>
      <c r="Y33" s="307">
        <v>0</v>
      </c>
      <c r="Z33" s="90">
        <v>7.0099999999999997E-3</v>
      </c>
      <c r="AA33" s="89">
        <v>7.0099999999999997E-3</v>
      </c>
      <c r="AB33" s="89">
        <v>0</v>
      </c>
      <c r="AC33" s="308">
        <v>0</v>
      </c>
      <c r="AD33" s="109" t="s">
        <v>1162</v>
      </c>
      <c r="AE33" s="45" t="s">
        <v>1163</v>
      </c>
    </row>
    <row r="34" spans="1:31" s="305" customFormat="1" ht="14.25">
      <c r="A34" s="306" t="s">
        <v>1164</v>
      </c>
      <c r="B34" s="217" t="s">
        <v>1165</v>
      </c>
      <c r="C34" s="45" t="s">
        <v>1166</v>
      </c>
      <c r="D34" s="45" t="s">
        <v>1167</v>
      </c>
      <c r="E34" s="45" t="s">
        <v>1168</v>
      </c>
      <c r="F34" s="78" t="s">
        <v>1012</v>
      </c>
      <c r="G34" s="310" t="s">
        <v>1147</v>
      </c>
      <c r="H34" s="84">
        <v>33</v>
      </c>
      <c r="I34" s="85">
        <v>33</v>
      </c>
      <c r="J34" s="85">
        <v>0</v>
      </c>
      <c r="K34" s="90">
        <v>0.16800000000000001</v>
      </c>
      <c r="L34" s="307">
        <v>0.16800000000000001</v>
      </c>
      <c r="M34" s="36">
        <v>0.16800000000000001</v>
      </c>
      <c r="N34" s="36">
        <v>0</v>
      </c>
      <c r="O34" s="307">
        <v>0</v>
      </c>
      <c r="P34" s="90">
        <v>3.5999999999999997E-2</v>
      </c>
      <c r="Q34" s="307">
        <v>3.5999999999999997E-2</v>
      </c>
      <c r="R34" s="36">
        <v>3.5999999999999997E-2</v>
      </c>
      <c r="S34" s="36">
        <v>0</v>
      </c>
      <c r="T34" s="307">
        <v>0</v>
      </c>
      <c r="U34" s="90">
        <v>0.13200000000000001</v>
      </c>
      <c r="V34" s="307">
        <v>0.13200000000000001</v>
      </c>
      <c r="W34" s="36">
        <v>0.13200000000000001</v>
      </c>
      <c r="X34" s="36">
        <v>0</v>
      </c>
      <c r="Y34" s="307">
        <v>0</v>
      </c>
      <c r="Z34" s="90">
        <v>8.0700000000000008E-3</v>
      </c>
      <c r="AA34" s="89">
        <v>8.0700000000000008E-3</v>
      </c>
      <c r="AB34" s="89">
        <v>0</v>
      </c>
      <c r="AC34" s="308">
        <v>0</v>
      </c>
      <c r="AD34" s="109" t="s">
        <v>1169</v>
      </c>
      <c r="AE34" s="45" t="s">
        <v>1170</v>
      </c>
    </row>
    <row r="35" spans="1:31" s="313" customFormat="1" ht="14.25">
      <c r="A35" s="118" t="s">
        <v>1171</v>
      </c>
      <c r="B35" s="691"/>
      <c r="C35" s="41" t="s">
        <v>1172</v>
      </c>
      <c r="D35" s="40"/>
      <c r="E35" s="41"/>
      <c r="F35" s="42" t="s">
        <v>1173</v>
      </c>
      <c r="G35" s="41"/>
      <c r="H35" s="41"/>
      <c r="I35" s="41"/>
      <c r="J35" s="41"/>
      <c r="K35" s="41"/>
      <c r="L35" s="41"/>
      <c r="M35" s="41"/>
      <c r="N35" s="41"/>
      <c r="O35" s="41"/>
      <c r="P35" s="41"/>
      <c r="Q35" s="311"/>
      <c r="R35" s="312"/>
      <c r="S35" s="312"/>
      <c r="T35" s="311"/>
      <c r="U35" s="311"/>
      <c r="V35" s="311"/>
      <c r="W35" s="312"/>
      <c r="X35" s="312"/>
      <c r="Y35" s="311"/>
      <c r="Z35" s="41"/>
      <c r="AA35" s="41"/>
      <c r="AB35" s="41"/>
      <c r="AC35" s="29"/>
      <c r="AD35" s="41" t="s">
        <v>793</v>
      </c>
      <c r="AE35" s="41"/>
    </row>
    <row r="36" spans="1:31" s="313" customFormat="1">
      <c r="A36" s="306" t="s">
        <v>568</v>
      </c>
      <c r="B36" s="217" t="s">
        <v>1174</v>
      </c>
      <c r="C36" s="45" t="s">
        <v>1175</v>
      </c>
      <c r="D36" s="44" t="s">
        <v>1176</v>
      </c>
      <c r="E36" s="30" t="s">
        <v>1177</v>
      </c>
      <c r="F36" s="71">
        <v>2150</v>
      </c>
      <c r="G36" s="47" t="s">
        <v>268</v>
      </c>
      <c r="H36" s="48">
        <v>104</v>
      </c>
      <c r="I36" s="75">
        <v>68.8</v>
      </c>
      <c r="J36" s="49">
        <v>35.4</v>
      </c>
      <c r="K36" s="50">
        <v>0.13900000000000001</v>
      </c>
      <c r="L36" s="307">
        <v>8.5099999999999995E-2</v>
      </c>
      <c r="M36" s="36">
        <v>8.5099999999999995E-2</v>
      </c>
      <c r="N36" s="36">
        <v>0</v>
      </c>
      <c r="O36" s="36">
        <v>5.3499999999999999E-2</v>
      </c>
      <c r="P36" s="50">
        <v>1.03E-2</v>
      </c>
      <c r="Q36" s="307">
        <v>8.3800000000000003E-3</v>
      </c>
      <c r="R36" s="36">
        <v>8.3800000000000003E-3</v>
      </c>
      <c r="S36" s="36">
        <v>0</v>
      </c>
      <c r="T36" s="36">
        <v>1.92E-3</v>
      </c>
      <c r="U36" s="50">
        <v>0.128</v>
      </c>
      <c r="V36" s="307">
        <v>7.6700000000000004E-2</v>
      </c>
      <c r="W36" s="36">
        <v>7.6700000000000004E-2</v>
      </c>
      <c r="X36" s="36">
        <v>0</v>
      </c>
      <c r="Y36" s="36">
        <v>5.16E-2</v>
      </c>
      <c r="Z36" s="51">
        <v>6.2799999999999995E-2</v>
      </c>
      <c r="AA36" s="83">
        <v>5.0200000000000002E-2</v>
      </c>
      <c r="AB36" s="53">
        <v>1.26E-2</v>
      </c>
      <c r="AC36" s="308">
        <v>0</v>
      </c>
      <c r="AD36" s="109" t="s">
        <v>1178</v>
      </c>
      <c r="AE36" s="30" t="s">
        <v>1179</v>
      </c>
    </row>
    <row r="37" spans="1:31" s="313" customFormat="1" ht="25.5" outlineLevel="1">
      <c r="A37" s="1218" t="s">
        <v>3875</v>
      </c>
      <c r="B37" s="692" t="s">
        <v>3876</v>
      </c>
      <c r="C37" s="60" t="s">
        <v>3877</v>
      </c>
      <c r="D37" s="1219" t="s">
        <v>1176</v>
      </c>
      <c r="E37" s="60" t="s">
        <v>1177</v>
      </c>
      <c r="F37" s="62">
        <v>1610</v>
      </c>
      <c r="G37" s="63" t="s">
        <v>268</v>
      </c>
      <c r="H37" s="1220">
        <v>104</v>
      </c>
      <c r="I37" s="105">
        <v>69.099999999999994</v>
      </c>
      <c r="J37" s="105">
        <v>35.200000000000003</v>
      </c>
      <c r="K37" s="111">
        <v>0.156</v>
      </c>
      <c r="L37" s="107">
        <v>0.10299999999999999</v>
      </c>
      <c r="M37" s="107">
        <v>0.10299999999999999</v>
      </c>
      <c r="N37" s="107">
        <v>0</v>
      </c>
      <c r="O37" s="107">
        <v>5.3199999999999997E-2</v>
      </c>
      <c r="P37" s="111">
        <v>1.2500000000000001E-2</v>
      </c>
      <c r="Q37" s="107">
        <v>1.06E-2</v>
      </c>
      <c r="R37" s="107">
        <v>1.06E-2</v>
      </c>
      <c r="S37" s="107">
        <v>0</v>
      </c>
      <c r="T37" s="107">
        <v>1.91E-3</v>
      </c>
      <c r="U37" s="111">
        <v>0.14399999999999999</v>
      </c>
      <c r="V37" s="107">
        <v>9.2299999999999993E-2</v>
      </c>
      <c r="W37" s="107">
        <v>9.2299999999999993E-2</v>
      </c>
      <c r="X37" s="107">
        <v>0</v>
      </c>
      <c r="Y37" s="107">
        <v>5.1299999999999998E-2</v>
      </c>
      <c r="Z37" s="1221">
        <v>6.6000000000000003E-2</v>
      </c>
      <c r="AA37" s="106">
        <v>5.3400000000000003E-2</v>
      </c>
      <c r="AB37" s="106">
        <v>1.26E-2</v>
      </c>
      <c r="AC37" s="347">
        <v>3.0400000000000002E-3</v>
      </c>
      <c r="AD37" s="60" t="s">
        <v>3878</v>
      </c>
      <c r="AE37" s="60" t="s">
        <v>1332</v>
      </c>
    </row>
    <row r="38" spans="1:31" s="313" customFormat="1">
      <c r="A38" s="306" t="s">
        <v>570</v>
      </c>
      <c r="B38" s="217" t="s">
        <v>1180</v>
      </c>
      <c r="C38" s="45" t="s">
        <v>1181</v>
      </c>
      <c r="D38" s="59" t="s">
        <v>1176</v>
      </c>
      <c r="E38" s="30" t="s">
        <v>1177</v>
      </c>
      <c r="F38" s="71">
        <v>2300</v>
      </c>
      <c r="G38" s="47" t="s">
        <v>268</v>
      </c>
      <c r="H38" s="48">
        <v>153</v>
      </c>
      <c r="I38" s="75">
        <v>118</v>
      </c>
      <c r="J38" s="49">
        <v>35.200000000000003</v>
      </c>
      <c r="K38" s="50">
        <v>0.19</v>
      </c>
      <c r="L38" s="307">
        <v>0.13600000000000001</v>
      </c>
      <c r="M38" s="36">
        <v>0.13600000000000001</v>
      </c>
      <c r="N38" s="36">
        <v>0</v>
      </c>
      <c r="O38" s="36">
        <v>5.3199999999999997E-2</v>
      </c>
      <c r="P38" s="50">
        <v>1.49E-2</v>
      </c>
      <c r="Q38" s="307">
        <v>1.2999999999999999E-2</v>
      </c>
      <c r="R38" s="36">
        <v>1.2999999999999999E-2</v>
      </c>
      <c r="S38" s="36">
        <v>0</v>
      </c>
      <c r="T38" s="36">
        <v>1.91E-3</v>
      </c>
      <c r="U38" s="50">
        <v>0.17499999999999999</v>
      </c>
      <c r="V38" s="307">
        <v>0.123</v>
      </c>
      <c r="W38" s="36">
        <v>0.123</v>
      </c>
      <c r="X38" s="36">
        <v>0</v>
      </c>
      <c r="Y38" s="36">
        <v>5.1299999999999998E-2</v>
      </c>
      <c r="Z38" s="51">
        <v>0.10100000000000001</v>
      </c>
      <c r="AA38" s="83">
        <v>8.8700000000000001E-2</v>
      </c>
      <c r="AB38" s="52">
        <v>1.26E-2</v>
      </c>
      <c r="AC38" s="308">
        <v>0</v>
      </c>
      <c r="AD38" s="45" t="s">
        <v>1182</v>
      </c>
      <c r="AE38" s="30" t="s">
        <v>1179</v>
      </c>
    </row>
    <row r="39" spans="1:31" s="313" customFormat="1" outlineLevel="1">
      <c r="A39" s="1218" t="s">
        <v>3665</v>
      </c>
      <c r="B39" s="692" t="s">
        <v>3666</v>
      </c>
      <c r="C39" s="60" t="s">
        <v>3667</v>
      </c>
      <c r="D39" s="1219" t="s">
        <v>1176</v>
      </c>
      <c r="E39" s="60" t="s">
        <v>1177</v>
      </c>
      <c r="F39" s="62">
        <v>2269</v>
      </c>
      <c r="G39" s="63" t="s">
        <v>268</v>
      </c>
      <c r="H39" s="1220">
        <v>174</v>
      </c>
      <c r="I39" s="105">
        <v>138</v>
      </c>
      <c r="J39" s="105">
        <v>35.4</v>
      </c>
      <c r="K39" s="111">
        <v>0.79900000000000004</v>
      </c>
      <c r="L39" s="107">
        <v>0.746</v>
      </c>
      <c r="M39" s="107">
        <v>0.499</v>
      </c>
      <c r="N39" s="107">
        <v>0.246</v>
      </c>
      <c r="O39" s="107">
        <v>5.3499999999999999E-2</v>
      </c>
      <c r="P39" s="111">
        <v>0.58099999999999996</v>
      </c>
      <c r="Q39" s="107">
        <v>0.57899999999999996</v>
      </c>
      <c r="R39" s="107">
        <v>0.33300000000000002</v>
      </c>
      <c r="S39" s="107">
        <v>0.246</v>
      </c>
      <c r="T39" s="107">
        <v>1.89E-3</v>
      </c>
      <c r="U39" s="111">
        <v>0.218</v>
      </c>
      <c r="V39" s="107">
        <v>0.16700000000000001</v>
      </c>
      <c r="W39" s="107">
        <v>0.16700000000000001</v>
      </c>
      <c r="X39" s="107">
        <v>0</v>
      </c>
      <c r="Y39" s="107">
        <v>5.16E-2</v>
      </c>
      <c r="Z39" s="1221">
        <v>0.105</v>
      </c>
      <c r="AA39" s="106">
        <v>9.1999999999999998E-2</v>
      </c>
      <c r="AB39" s="106">
        <v>1.2699999999999999E-2</v>
      </c>
      <c r="AC39" s="347">
        <v>2.53E-2</v>
      </c>
      <c r="AD39" s="60" t="s">
        <v>3668</v>
      </c>
      <c r="AE39" s="60" t="s">
        <v>1332</v>
      </c>
    </row>
    <row r="40" spans="1:31" s="313" customFormat="1" outlineLevel="1">
      <c r="A40" s="1218" t="s">
        <v>3669</v>
      </c>
      <c r="B40" s="692" t="s">
        <v>3670</v>
      </c>
      <c r="C40" s="60" t="s">
        <v>3671</v>
      </c>
      <c r="D40" s="1219" t="s">
        <v>1176</v>
      </c>
      <c r="E40" s="60" t="s">
        <v>1177</v>
      </c>
      <c r="F40" s="62">
        <v>2293</v>
      </c>
      <c r="G40" s="63" t="s">
        <v>268</v>
      </c>
      <c r="H40" s="1220">
        <v>180</v>
      </c>
      <c r="I40" s="105">
        <v>145</v>
      </c>
      <c r="J40" s="105">
        <v>35.4</v>
      </c>
      <c r="K40" s="111">
        <v>0.83399999999999996</v>
      </c>
      <c r="L40" s="107">
        <v>0.78100000000000003</v>
      </c>
      <c r="M40" s="107">
        <v>0.52300000000000002</v>
      </c>
      <c r="N40" s="107">
        <v>0.25800000000000001</v>
      </c>
      <c r="O40" s="107">
        <v>5.3499999999999999E-2</v>
      </c>
      <c r="P40" s="111">
        <v>0.60899999999999999</v>
      </c>
      <c r="Q40" s="107">
        <v>0.60699999999999998</v>
      </c>
      <c r="R40" s="107">
        <v>0.34899999999999998</v>
      </c>
      <c r="S40" s="107">
        <v>0.25800000000000001</v>
      </c>
      <c r="T40" s="107">
        <v>1.89E-3</v>
      </c>
      <c r="U40" s="111">
        <v>0.22500000000000001</v>
      </c>
      <c r="V40" s="107">
        <v>0.17399999999999999</v>
      </c>
      <c r="W40" s="107">
        <v>0.17399999999999999</v>
      </c>
      <c r="X40" s="107">
        <v>0</v>
      </c>
      <c r="Y40" s="107">
        <v>5.16E-2</v>
      </c>
      <c r="Z40" s="1221">
        <v>0.11</v>
      </c>
      <c r="AA40" s="106">
        <v>9.7000000000000003E-2</v>
      </c>
      <c r="AB40" s="106">
        <v>1.2699999999999999E-2</v>
      </c>
      <c r="AC40" s="347">
        <v>2.6599999999999999E-2</v>
      </c>
      <c r="AD40" s="60" t="s">
        <v>3672</v>
      </c>
      <c r="AE40" s="60" t="s">
        <v>1332</v>
      </c>
    </row>
    <row r="41" spans="1:31" s="313" customFormat="1" outlineLevel="1">
      <c r="A41" s="1218" t="s">
        <v>3673</v>
      </c>
      <c r="B41" s="692" t="s">
        <v>3674</v>
      </c>
      <c r="C41" s="60" t="s">
        <v>3675</v>
      </c>
      <c r="D41" s="1219" t="s">
        <v>1176</v>
      </c>
      <c r="E41" s="60" t="s">
        <v>1177</v>
      </c>
      <c r="F41" s="62">
        <v>2333</v>
      </c>
      <c r="G41" s="63" t="s">
        <v>268</v>
      </c>
      <c r="H41" s="1220">
        <v>187</v>
      </c>
      <c r="I41" s="105">
        <v>151</v>
      </c>
      <c r="J41" s="105">
        <v>35.4</v>
      </c>
      <c r="K41" s="111">
        <v>0.873</v>
      </c>
      <c r="L41" s="107">
        <v>0.81899999999999995</v>
      </c>
      <c r="M41" s="107">
        <v>0.54800000000000004</v>
      </c>
      <c r="N41" s="107">
        <v>0.27100000000000002</v>
      </c>
      <c r="O41" s="107">
        <v>5.3499999999999999E-2</v>
      </c>
      <c r="P41" s="111">
        <v>0.64</v>
      </c>
      <c r="Q41" s="107">
        <v>0.63800000000000001</v>
      </c>
      <c r="R41" s="107">
        <v>0.36699999999999999</v>
      </c>
      <c r="S41" s="107">
        <v>0.27100000000000002</v>
      </c>
      <c r="T41" s="107">
        <v>1.89E-3</v>
      </c>
      <c r="U41" s="111">
        <v>0.23200000000000001</v>
      </c>
      <c r="V41" s="107">
        <v>0.18099999999999999</v>
      </c>
      <c r="W41" s="107">
        <v>0.18099999999999999</v>
      </c>
      <c r="X41" s="107">
        <v>0</v>
      </c>
      <c r="Y41" s="107">
        <v>5.16E-2</v>
      </c>
      <c r="Z41" s="1221">
        <v>0.114</v>
      </c>
      <c r="AA41" s="106">
        <v>0.10100000000000001</v>
      </c>
      <c r="AB41" s="106">
        <v>1.2699999999999999E-2</v>
      </c>
      <c r="AC41" s="347">
        <v>2.7900000000000001E-2</v>
      </c>
      <c r="AD41" s="60" t="s">
        <v>3676</v>
      </c>
      <c r="AE41" s="60" t="s">
        <v>1332</v>
      </c>
    </row>
    <row r="42" spans="1:31" s="313" customFormat="1" outlineLevel="1">
      <c r="A42" s="1218" t="s">
        <v>3677</v>
      </c>
      <c r="B42" s="692" t="s">
        <v>3678</v>
      </c>
      <c r="C42" s="60" t="s">
        <v>3679</v>
      </c>
      <c r="D42" s="1219" t="s">
        <v>1176</v>
      </c>
      <c r="E42" s="60" t="s">
        <v>1177</v>
      </c>
      <c r="F42" s="62">
        <v>2353</v>
      </c>
      <c r="G42" s="63" t="s">
        <v>268</v>
      </c>
      <c r="H42" s="1220">
        <v>192</v>
      </c>
      <c r="I42" s="105">
        <v>157</v>
      </c>
      <c r="J42" s="105">
        <v>35.4</v>
      </c>
      <c r="K42" s="111">
        <v>0.91</v>
      </c>
      <c r="L42" s="107">
        <v>0.85599999999999998</v>
      </c>
      <c r="M42" s="107">
        <v>0.57299999999999995</v>
      </c>
      <c r="N42" s="107">
        <v>0.28299999999999997</v>
      </c>
      <c r="O42" s="107">
        <v>5.3499999999999999E-2</v>
      </c>
      <c r="P42" s="111">
        <v>0.66800000000000004</v>
      </c>
      <c r="Q42" s="107">
        <v>0.66600000000000004</v>
      </c>
      <c r="R42" s="107">
        <v>0.38300000000000001</v>
      </c>
      <c r="S42" s="107">
        <v>0.28299999999999997</v>
      </c>
      <c r="T42" s="107">
        <v>1.89E-3</v>
      </c>
      <c r="U42" s="111">
        <v>0.24199999999999999</v>
      </c>
      <c r="V42" s="107">
        <v>0.19</v>
      </c>
      <c r="W42" s="107">
        <v>0.19</v>
      </c>
      <c r="X42" s="107">
        <v>0</v>
      </c>
      <c r="Y42" s="107">
        <v>5.16E-2</v>
      </c>
      <c r="Z42" s="1221">
        <v>0.11899999999999999</v>
      </c>
      <c r="AA42" s="106">
        <v>0.107</v>
      </c>
      <c r="AB42" s="106">
        <v>1.2699999999999999E-2</v>
      </c>
      <c r="AC42" s="347">
        <v>2.92E-2</v>
      </c>
      <c r="AD42" s="60" t="s">
        <v>3680</v>
      </c>
      <c r="AE42" s="60" t="s">
        <v>1332</v>
      </c>
    </row>
    <row r="43" spans="1:31" s="313" customFormat="1" ht="25.5" outlineLevel="1">
      <c r="A43" s="1218" t="s">
        <v>3681</v>
      </c>
      <c r="B43" s="692" t="s">
        <v>3682</v>
      </c>
      <c r="C43" s="60" t="s">
        <v>3683</v>
      </c>
      <c r="D43" s="1219" t="s">
        <v>1176</v>
      </c>
      <c r="E43" s="60" t="s">
        <v>1177</v>
      </c>
      <c r="F43" s="62">
        <v>2350</v>
      </c>
      <c r="G43" s="63" t="s">
        <v>268</v>
      </c>
      <c r="H43" s="1220">
        <v>145</v>
      </c>
      <c r="I43" s="105">
        <v>109</v>
      </c>
      <c r="J43" s="105">
        <v>35.4</v>
      </c>
      <c r="K43" s="111">
        <v>0.21</v>
      </c>
      <c r="L43" s="107">
        <v>0.156</v>
      </c>
      <c r="M43" s="107">
        <v>0.156</v>
      </c>
      <c r="N43" s="107">
        <v>0</v>
      </c>
      <c r="O43" s="107">
        <v>5.3999999999999999E-2</v>
      </c>
      <c r="P43" s="111">
        <v>1.6E-2</v>
      </c>
      <c r="Q43" s="107">
        <v>1.4E-2</v>
      </c>
      <c r="R43" s="107">
        <v>1.4E-2</v>
      </c>
      <c r="S43" s="107">
        <v>0</v>
      </c>
      <c r="T43" s="107">
        <v>2E-3</v>
      </c>
      <c r="U43" s="111">
        <v>0.19400000000000001</v>
      </c>
      <c r="V43" s="107">
        <v>0.14199999999999999</v>
      </c>
      <c r="W43" s="107">
        <v>0.14199999999999999</v>
      </c>
      <c r="X43" s="107">
        <v>0</v>
      </c>
      <c r="Y43" s="107">
        <v>5.1999999999999998E-2</v>
      </c>
      <c r="Z43" s="1221">
        <v>9.6699999999999994E-2</v>
      </c>
      <c r="AA43" s="106">
        <v>8.3699999999999997E-2</v>
      </c>
      <c r="AB43" s="106">
        <v>1.2999999999999999E-2</v>
      </c>
      <c r="AC43" s="347">
        <v>1.17E-3</v>
      </c>
      <c r="AD43" s="60" t="s">
        <v>3684</v>
      </c>
      <c r="AE43" s="60" t="s">
        <v>1332</v>
      </c>
    </row>
    <row r="44" spans="1:31" s="313" customFormat="1" ht="25.5" outlineLevel="1">
      <c r="A44" s="1218" t="s">
        <v>3685</v>
      </c>
      <c r="B44" s="692" t="s">
        <v>3686</v>
      </c>
      <c r="C44" s="60" t="s">
        <v>3687</v>
      </c>
      <c r="D44" s="1219" t="s">
        <v>1176</v>
      </c>
      <c r="E44" s="60" t="s">
        <v>1177</v>
      </c>
      <c r="F44" s="62">
        <v>2350</v>
      </c>
      <c r="G44" s="63" t="s">
        <v>268</v>
      </c>
      <c r="H44" s="1220">
        <v>153</v>
      </c>
      <c r="I44" s="105">
        <v>117</v>
      </c>
      <c r="J44" s="105">
        <v>35.4</v>
      </c>
      <c r="K44" s="111">
        <v>0.218</v>
      </c>
      <c r="L44" s="107">
        <v>0.16400000000000001</v>
      </c>
      <c r="M44" s="107">
        <v>0.16400000000000001</v>
      </c>
      <c r="N44" s="107">
        <v>0</v>
      </c>
      <c r="O44" s="107">
        <v>5.3999999999999999E-2</v>
      </c>
      <c r="P44" s="111">
        <v>1.61E-2</v>
      </c>
      <c r="Q44" s="107">
        <v>1.41E-2</v>
      </c>
      <c r="R44" s="107">
        <v>1.41E-2</v>
      </c>
      <c r="S44" s="107">
        <v>0</v>
      </c>
      <c r="T44" s="107">
        <v>2E-3</v>
      </c>
      <c r="U44" s="111">
        <v>0.20100000000000001</v>
      </c>
      <c r="V44" s="107">
        <v>0.14899999999999999</v>
      </c>
      <c r="W44" s="107">
        <v>0.14899999999999999</v>
      </c>
      <c r="X44" s="107">
        <v>0</v>
      </c>
      <c r="Y44" s="107">
        <v>5.1999999999999998E-2</v>
      </c>
      <c r="Z44" s="1221">
        <v>0.10199999999999999</v>
      </c>
      <c r="AA44" s="106">
        <v>8.8800000000000004E-2</v>
      </c>
      <c r="AB44" s="106">
        <v>1.2999999999999999E-2</v>
      </c>
      <c r="AC44" s="347">
        <v>1.17E-3</v>
      </c>
      <c r="AD44" s="60" t="s">
        <v>3688</v>
      </c>
      <c r="AE44" s="60" t="s">
        <v>1332</v>
      </c>
    </row>
    <row r="45" spans="1:31" s="313" customFormat="1" ht="25.5" outlineLevel="1">
      <c r="A45" s="1218" t="s">
        <v>3689</v>
      </c>
      <c r="B45" s="692" t="s">
        <v>3690</v>
      </c>
      <c r="C45" s="60" t="s">
        <v>3691</v>
      </c>
      <c r="D45" s="1219" t="s">
        <v>1176</v>
      </c>
      <c r="E45" s="60" t="s">
        <v>1177</v>
      </c>
      <c r="F45" s="62">
        <v>2311.4</v>
      </c>
      <c r="G45" s="63" t="s">
        <v>268</v>
      </c>
      <c r="H45" s="1220">
        <v>142</v>
      </c>
      <c r="I45" s="105">
        <v>106</v>
      </c>
      <c r="J45" s="105">
        <v>35.200000000000003</v>
      </c>
      <c r="K45" s="111">
        <v>0.17699999999999999</v>
      </c>
      <c r="L45" s="107">
        <v>0.124</v>
      </c>
      <c r="M45" s="107">
        <v>0.124</v>
      </c>
      <c r="N45" s="107">
        <v>0</v>
      </c>
      <c r="O45" s="107">
        <v>5.3199999999999997E-2</v>
      </c>
      <c r="P45" s="111">
        <v>1.47E-2</v>
      </c>
      <c r="Q45" s="107">
        <v>1.2800000000000001E-2</v>
      </c>
      <c r="R45" s="107">
        <v>1.2800000000000001E-2</v>
      </c>
      <c r="S45" s="107">
        <v>0</v>
      </c>
      <c r="T45" s="107">
        <v>1.91E-3</v>
      </c>
      <c r="U45" s="111">
        <v>0.16200000000000001</v>
      </c>
      <c r="V45" s="107">
        <v>0.111</v>
      </c>
      <c r="W45" s="107">
        <v>0.111</v>
      </c>
      <c r="X45" s="107">
        <v>0</v>
      </c>
      <c r="Y45" s="107">
        <v>5.1299999999999998E-2</v>
      </c>
      <c r="Z45" s="1221">
        <v>9.0399999999999994E-2</v>
      </c>
      <c r="AA45" s="106">
        <v>7.7799999999999994E-2</v>
      </c>
      <c r="AB45" s="106">
        <v>1.26E-2</v>
      </c>
      <c r="AC45" s="347">
        <v>6.87E-4</v>
      </c>
      <c r="AD45" s="60" t="s">
        <v>3879</v>
      </c>
      <c r="AE45" s="60" t="s">
        <v>1332</v>
      </c>
    </row>
    <row r="46" spans="1:31" s="313" customFormat="1" ht="25.5" outlineLevel="1">
      <c r="A46" s="1218" t="s">
        <v>3692</v>
      </c>
      <c r="B46" s="692" t="s">
        <v>3693</v>
      </c>
      <c r="C46" s="60" t="s">
        <v>3880</v>
      </c>
      <c r="D46" s="1219" t="s">
        <v>1176</v>
      </c>
      <c r="E46" s="60" t="s">
        <v>1177</v>
      </c>
      <c r="F46" s="62">
        <v>2311.4</v>
      </c>
      <c r="G46" s="63" t="s">
        <v>268</v>
      </c>
      <c r="H46" s="1220">
        <v>134</v>
      </c>
      <c r="I46" s="105">
        <v>99.2</v>
      </c>
      <c r="J46" s="105">
        <v>35.200000000000003</v>
      </c>
      <c r="K46" s="111">
        <v>0.192</v>
      </c>
      <c r="L46" s="107">
        <v>0.13900000000000001</v>
      </c>
      <c r="M46" s="107">
        <v>0.13900000000000001</v>
      </c>
      <c r="N46" s="107">
        <v>0</v>
      </c>
      <c r="O46" s="107">
        <v>5.3199999999999997E-2</v>
      </c>
      <c r="P46" s="111">
        <v>1.46E-2</v>
      </c>
      <c r="Q46" s="107">
        <v>1.2699999999999999E-2</v>
      </c>
      <c r="R46" s="107">
        <v>1.2699999999999999E-2</v>
      </c>
      <c r="S46" s="107">
        <v>0</v>
      </c>
      <c r="T46" s="107">
        <v>1.91E-3</v>
      </c>
      <c r="U46" s="111">
        <v>0.17699999999999999</v>
      </c>
      <c r="V46" s="107">
        <v>0.126</v>
      </c>
      <c r="W46" s="107">
        <v>0.126</v>
      </c>
      <c r="X46" s="107">
        <v>0</v>
      </c>
      <c r="Y46" s="107">
        <v>5.1299999999999998E-2</v>
      </c>
      <c r="Z46" s="1221">
        <v>8.3599999999999994E-2</v>
      </c>
      <c r="AA46" s="106">
        <v>7.0999999999999994E-2</v>
      </c>
      <c r="AB46" s="106">
        <v>1.26E-2</v>
      </c>
      <c r="AC46" s="347">
        <v>7.7800000000000005E-4</v>
      </c>
      <c r="AD46" s="60" t="s">
        <v>3881</v>
      </c>
      <c r="AE46" s="60" t="s">
        <v>1332</v>
      </c>
    </row>
    <row r="47" spans="1:31" s="313" customFormat="1" ht="25.5" outlineLevel="1">
      <c r="A47" s="1218" t="s">
        <v>3694</v>
      </c>
      <c r="B47" s="692" t="s">
        <v>3695</v>
      </c>
      <c r="C47" s="60" t="s">
        <v>3882</v>
      </c>
      <c r="D47" s="1219" t="s">
        <v>1176</v>
      </c>
      <c r="E47" s="60" t="s">
        <v>1177</v>
      </c>
      <c r="F47" s="62">
        <v>2292.2399999999998</v>
      </c>
      <c r="G47" s="63" t="s">
        <v>268</v>
      </c>
      <c r="H47" s="1220"/>
      <c r="I47" s="105"/>
      <c r="J47" s="105"/>
      <c r="K47" s="111"/>
      <c r="L47" s="107"/>
      <c r="M47" s="107"/>
      <c r="N47" s="107"/>
      <c r="O47" s="107"/>
      <c r="P47" s="111"/>
      <c r="Q47" s="107"/>
      <c r="R47" s="107"/>
      <c r="S47" s="107"/>
      <c r="T47" s="107"/>
      <c r="U47" s="111"/>
      <c r="V47" s="107"/>
      <c r="W47" s="107"/>
      <c r="X47" s="107"/>
      <c r="Y47" s="107"/>
      <c r="Z47" s="1221"/>
      <c r="AA47" s="106"/>
      <c r="AB47" s="106"/>
      <c r="AC47" s="347"/>
      <c r="AD47" s="60" t="s">
        <v>3883</v>
      </c>
      <c r="AE47" s="60" t="s">
        <v>1332</v>
      </c>
    </row>
    <row r="48" spans="1:31" s="313" customFormat="1" ht="25.5" outlineLevel="1">
      <c r="A48" s="1218" t="s">
        <v>3696</v>
      </c>
      <c r="B48" s="692" t="s">
        <v>3697</v>
      </c>
      <c r="C48" s="60" t="s">
        <v>3884</v>
      </c>
      <c r="D48" s="1219" t="s">
        <v>1176</v>
      </c>
      <c r="E48" s="60" t="s">
        <v>1177</v>
      </c>
      <c r="F48" s="62">
        <v>2272.1</v>
      </c>
      <c r="G48" s="63" t="s">
        <v>268</v>
      </c>
      <c r="H48" s="1220">
        <v>130</v>
      </c>
      <c r="I48" s="105">
        <v>94.3</v>
      </c>
      <c r="J48" s="105">
        <v>35.200000000000003</v>
      </c>
      <c r="K48" s="111">
        <v>0.191</v>
      </c>
      <c r="L48" s="107">
        <v>0.13700000000000001</v>
      </c>
      <c r="M48" s="107">
        <v>0.13700000000000001</v>
      </c>
      <c r="N48" s="107">
        <v>0</v>
      </c>
      <c r="O48" s="107">
        <v>5.3199999999999997E-2</v>
      </c>
      <c r="P48" s="111">
        <v>1.44E-2</v>
      </c>
      <c r="Q48" s="107">
        <v>1.2500000000000001E-2</v>
      </c>
      <c r="R48" s="107">
        <v>1.2500000000000001E-2</v>
      </c>
      <c r="S48" s="107">
        <v>0</v>
      </c>
      <c r="T48" s="107">
        <v>1.91E-3</v>
      </c>
      <c r="U48" s="111">
        <v>0.17599999999999999</v>
      </c>
      <c r="V48" s="107">
        <v>0.125</v>
      </c>
      <c r="W48" s="107">
        <v>0.125</v>
      </c>
      <c r="X48" s="107">
        <v>0</v>
      </c>
      <c r="Y48" s="107">
        <v>5.1299999999999998E-2</v>
      </c>
      <c r="Z48" s="1221">
        <v>8.3900000000000002E-2</v>
      </c>
      <c r="AA48" s="106">
        <v>7.1300000000000002E-2</v>
      </c>
      <c r="AB48" s="106">
        <v>1.26E-2</v>
      </c>
      <c r="AC48" s="347">
        <v>2.0600000000000002E-3</v>
      </c>
      <c r="AD48" s="60" t="s">
        <v>3885</v>
      </c>
      <c r="AE48" s="60" t="s">
        <v>1332</v>
      </c>
    </row>
    <row r="49" spans="1:31" s="313" customFormat="1" ht="25.5" outlineLevel="1">
      <c r="A49" s="1218" t="s">
        <v>3886</v>
      </c>
      <c r="B49" s="692" t="s">
        <v>3887</v>
      </c>
      <c r="C49" s="60" t="s">
        <v>3888</v>
      </c>
      <c r="D49" s="1219" t="s">
        <v>1176</v>
      </c>
      <c r="E49" s="60" t="s">
        <v>1177</v>
      </c>
      <c r="F49" s="62">
        <v>2263.9</v>
      </c>
      <c r="G49" s="63" t="s">
        <v>268</v>
      </c>
      <c r="H49" s="1220">
        <v>137</v>
      </c>
      <c r="I49" s="105">
        <v>102</v>
      </c>
      <c r="J49" s="105">
        <v>35.200000000000003</v>
      </c>
      <c r="K49" s="111">
        <v>0.20499999999999999</v>
      </c>
      <c r="L49" s="107">
        <v>0.152</v>
      </c>
      <c r="M49" s="107">
        <v>0.152</v>
      </c>
      <c r="N49" s="107">
        <v>0</v>
      </c>
      <c r="O49" s="107">
        <v>5.3199999999999997E-2</v>
      </c>
      <c r="P49" s="111">
        <v>1.52E-2</v>
      </c>
      <c r="Q49" s="107">
        <v>1.3299999999999999E-2</v>
      </c>
      <c r="R49" s="107">
        <v>1.3299999999999999E-2</v>
      </c>
      <c r="S49" s="107">
        <v>0</v>
      </c>
      <c r="T49" s="107">
        <v>1.91E-3</v>
      </c>
      <c r="U49" s="111">
        <v>0.19</v>
      </c>
      <c r="V49" s="107">
        <v>0.13900000000000001</v>
      </c>
      <c r="W49" s="107">
        <v>0.13900000000000001</v>
      </c>
      <c r="X49" s="107">
        <v>0</v>
      </c>
      <c r="Y49" s="107">
        <v>5.1299999999999998E-2</v>
      </c>
      <c r="Z49" s="1221">
        <v>8.9899999999999994E-2</v>
      </c>
      <c r="AA49" s="106">
        <v>7.7299999999999994E-2</v>
      </c>
      <c r="AB49" s="106">
        <v>1.26E-2</v>
      </c>
      <c r="AC49" s="347">
        <v>2.0699999999999998E-3</v>
      </c>
      <c r="AD49" s="60" t="s">
        <v>3889</v>
      </c>
      <c r="AE49" s="60" t="s">
        <v>1332</v>
      </c>
    </row>
    <row r="50" spans="1:31" s="313" customFormat="1" ht="25.5" outlineLevel="1">
      <c r="A50" s="1218" t="s">
        <v>3698</v>
      </c>
      <c r="B50" s="692" t="s">
        <v>3699</v>
      </c>
      <c r="C50" s="60" t="s">
        <v>3890</v>
      </c>
      <c r="D50" s="1219" t="s">
        <v>1176</v>
      </c>
      <c r="E50" s="60" t="s">
        <v>1177</v>
      </c>
      <c r="F50" s="62">
        <v>2252.8000000000002</v>
      </c>
      <c r="G50" s="63" t="s">
        <v>268</v>
      </c>
      <c r="H50" s="1220">
        <v>129</v>
      </c>
      <c r="I50" s="105">
        <v>93.3</v>
      </c>
      <c r="J50" s="105">
        <v>35.200000000000003</v>
      </c>
      <c r="K50" s="111">
        <v>0.192</v>
      </c>
      <c r="L50" s="107">
        <v>0.13900000000000001</v>
      </c>
      <c r="M50" s="107">
        <v>0.13900000000000001</v>
      </c>
      <c r="N50" s="107">
        <v>0</v>
      </c>
      <c r="O50" s="107">
        <v>5.3199999999999997E-2</v>
      </c>
      <c r="P50" s="111">
        <v>1.44E-2</v>
      </c>
      <c r="Q50" s="107">
        <v>1.2500000000000001E-2</v>
      </c>
      <c r="R50" s="107">
        <v>1.2500000000000001E-2</v>
      </c>
      <c r="S50" s="107">
        <v>0</v>
      </c>
      <c r="T50" s="107">
        <v>1.91E-3</v>
      </c>
      <c r="U50" s="111">
        <v>0.17799999999999999</v>
      </c>
      <c r="V50" s="107">
        <v>0.126</v>
      </c>
      <c r="W50" s="107">
        <v>0.126</v>
      </c>
      <c r="X50" s="107">
        <v>0</v>
      </c>
      <c r="Y50" s="107">
        <v>5.1299999999999998E-2</v>
      </c>
      <c r="Z50" s="1221">
        <v>8.4400000000000003E-2</v>
      </c>
      <c r="AA50" s="106">
        <v>7.1800000000000003E-2</v>
      </c>
      <c r="AB50" s="106">
        <v>1.26E-2</v>
      </c>
      <c r="AC50" s="347">
        <v>2.47E-3</v>
      </c>
      <c r="AD50" s="60" t="s">
        <v>3891</v>
      </c>
      <c r="AE50" s="60" t="s">
        <v>1332</v>
      </c>
    </row>
    <row r="51" spans="1:31" s="313" customFormat="1">
      <c r="A51" s="306" t="s">
        <v>1183</v>
      </c>
      <c r="B51" s="217" t="s">
        <v>1184</v>
      </c>
      <c r="C51" s="45" t="s">
        <v>1185</v>
      </c>
      <c r="D51" s="56" t="s">
        <v>1176</v>
      </c>
      <c r="E51" s="30" t="s">
        <v>1177</v>
      </c>
      <c r="F51" s="71">
        <v>2350</v>
      </c>
      <c r="G51" s="47" t="s">
        <v>268</v>
      </c>
      <c r="H51" s="54">
        <v>163</v>
      </c>
      <c r="I51" s="75">
        <v>128</v>
      </c>
      <c r="J51" s="49">
        <v>35.1</v>
      </c>
      <c r="K51" s="50">
        <v>0.20499999999999999</v>
      </c>
      <c r="L51" s="307">
        <v>0.152</v>
      </c>
      <c r="M51" s="36">
        <v>0.152</v>
      </c>
      <c r="N51" s="36">
        <v>0</v>
      </c>
      <c r="O51" s="36">
        <v>5.3199999999999997E-2</v>
      </c>
      <c r="P51" s="50">
        <v>1.6E-2</v>
      </c>
      <c r="Q51" s="307">
        <v>1.41E-2</v>
      </c>
      <c r="R51" s="36">
        <v>1.41E-2</v>
      </c>
      <c r="S51" s="36">
        <v>0</v>
      </c>
      <c r="T51" s="36">
        <v>1.9E-3</v>
      </c>
      <c r="U51" s="50">
        <v>0.189</v>
      </c>
      <c r="V51" s="307">
        <v>0.13800000000000001</v>
      </c>
      <c r="W51" s="36">
        <v>0.13800000000000001</v>
      </c>
      <c r="X51" s="36">
        <v>0</v>
      </c>
      <c r="Y51" s="36">
        <v>5.1299999999999998E-2</v>
      </c>
      <c r="Z51" s="50">
        <v>0.109</v>
      </c>
      <c r="AA51" s="78">
        <v>9.6299999999999997E-2</v>
      </c>
      <c r="AB51" s="52">
        <v>1.2500000000000001E-2</v>
      </c>
      <c r="AC51" s="308">
        <v>0</v>
      </c>
      <c r="AD51" s="45" t="s">
        <v>1186</v>
      </c>
      <c r="AE51" s="30" t="s">
        <v>1179</v>
      </c>
    </row>
    <row r="52" spans="1:31" s="313" customFormat="1">
      <c r="A52" s="306" t="s">
        <v>1187</v>
      </c>
      <c r="B52" s="217" t="s">
        <v>1188</v>
      </c>
      <c r="C52" s="45" t="s">
        <v>1189</v>
      </c>
      <c r="D52" s="56" t="s">
        <v>1176</v>
      </c>
      <c r="E52" s="30" t="s">
        <v>1177</v>
      </c>
      <c r="F52" s="71">
        <v>2325</v>
      </c>
      <c r="G52" s="47" t="s">
        <v>268</v>
      </c>
      <c r="H52" s="54">
        <v>174</v>
      </c>
      <c r="I52" s="74">
        <v>139</v>
      </c>
      <c r="J52" s="49">
        <v>35.1</v>
      </c>
      <c r="K52" s="50">
        <v>0.214</v>
      </c>
      <c r="L52" s="307">
        <v>0.161</v>
      </c>
      <c r="M52" s="36">
        <v>0.161</v>
      </c>
      <c r="N52" s="36">
        <v>0</v>
      </c>
      <c r="O52" s="36">
        <v>5.3100000000000001E-2</v>
      </c>
      <c r="P52" s="50">
        <v>1.72E-2</v>
      </c>
      <c r="Q52" s="307">
        <v>1.5299999999999999E-2</v>
      </c>
      <c r="R52" s="36">
        <v>1.5299999999999999E-2</v>
      </c>
      <c r="S52" s="36">
        <v>0</v>
      </c>
      <c r="T52" s="36">
        <v>1.9E-3</v>
      </c>
      <c r="U52" s="50">
        <v>0.19700000000000001</v>
      </c>
      <c r="V52" s="307">
        <v>0.14599999999999999</v>
      </c>
      <c r="W52" s="36">
        <v>0.14599999999999999</v>
      </c>
      <c r="X52" s="36">
        <v>0</v>
      </c>
      <c r="Y52" s="36">
        <v>5.1200000000000002E-2</v>
      </c>
      <c r="Z52" s="50">
        <v>0.11899999999999999</v>
      </c>
      <c r="AA52" s="78">
        <v>0.107</v>
      </c>
      <c r="AB52" s="52">
        <v>1.2500000000000001E-2</v>
      </c>
      <c r="AC52" s="308">
        <v>0</v>
      </c>
      <c r="AD52" s="45" t="s">
        <v>1190</v>
      </c>
      <c r="AE52" s="30" t="s">
        <v>1179</v>
      </c>
    </row>
    <row r="53" spans="1:31" s="305" customFormat="1" ht="13.5" customHeight="1">
      <c r="A53" s="306" t="s">
        <v>1191</v>
      </c>
      <c r="B53" s="217" t="s">
        <v>1192</v>
      </c>
      <c r="C53" s="45" t="s">
        <v>1193</v>
      </c>
      <c r="D53" s="56" t="s">
        <v>1176</v>
      </c>
      <c r="E53" s="30" t="s">
        <v>1177</v>
      </c>
      <c r="F53" s="71">
        <v>2770</v>
      </c>
      <c r="G53" s="47" t="s">
        <v>268</v>
      </c>
      <c r="H53" s="57">
        <v>440</v>
      </c>
      <c r="I53" s="314">
        <v>409</v>
      </c>
      <c r="J53" s="58">
        <v>31</v>
      </c>
      <c r="K53" s="50">
        <v>0.77300000000000002</v>
      </c>
      <c r="L53" s="307">
        <v>0.72599999999999998</v>
      </c>
      <c r="M53" s="36">
        <v>0.72599999999999998</v>
      </c>
      <c r="N53" s="36">
        <v>0</v>
      </c>
      <c r="O53" s="36">
        <v>4.7E-2</v>
      </c>
      <c r="P53" s="50">
        <v>7.5800000000000006E-2</v>
      </c>
      <c r="Q53" s="307">
        <v>7.4099999999999999E-2</v>
      </c>
      <c r="R53" s="36">
        <v>7.4099999999999999E-2</v>
      </c>
      <c r="S53" s="36">
        <v>0</v>
      </c>
      <c r="T53" s="36">
        <v>1.6800000000000001E-3</v>
      </c>
      <c r="U53" s="50">
        <v>0.69699999999999995</v>
      </c>
      <c r="V53" s="307">
        <v>0.65200000000000002</v>
      </c>
      <c r="W53" s="36">
        <v>0.65200000000000002</v>
      </c>
      <c r="X53" s="36">
        <v>0</v>
      </c>
      <c r="Y53" s="36">
        <v>4.53E-2</v>
      </c>
      <c r="Z53" s="50">
        <v>0.27600000000000002</v>
      </c>
      <c r="AA53" s="83">
        <v>0.26500000000000001</v>
      </c>
      <c r="AB53" s="53">
        <v>1.11E-2</v>
      </c>
      <c r="AC53" s="308">
        <v>0</v>
      </c>
      <c r="AD53" s="45" t="s">
        <v>1194</v>
      </c>
      <c r="AE53" s="30" t="s">
        <v>1179</v>
      </c>
    </row>
    <row r="54" spans="1:31" s="305" customFormat="1">
      <c r="A54" s="306" t="s">
        <v>791</v>
      </c>
      <c r="B54" s="217" t="s">
        <v>1195</v>
      </c>
      <c r="C54" s="45" t="s">
        <v>1196</v>
      </c>
      <c r="D54" s="56" t="s">
        <v>1176</v>
      </c>
      <c r="E54" s="30" t="s">
        <v>1177</v>
      </c>
      <c r="F54" s="71">
        <v>2500</v>
      </c>
      <c r="G54" s="47" t="s">
        <v>268</v>
      </c>
      <c r="H54" s="57">
        <v>282</v>
      </c>
      <c r="I54" s="314">
        <v>248</v>
      </c>
      <c r="J54" s="58">
        <v>33.9</v>
      </c>
      <c r="K54" s="50">
        <v>0.52700000000000002</v>
      </c>
      <c r="L54" s="307">
        <v>0.47599999999999998</v>
      </c>
      <c r="M54" s="36">
        <v>0.47599999999999998</v>
      </c>
      <c r="N54" s="36">
        <v>0</v>
      </c>
      <c r="O54" s="36">
        <v>5.1400000000000001E-2</v>
      </c>
      <c r="P54" s="50">
        <v>9.4799999999999995E-2</v>
      </c>
      <c r="Q54" s="307">
        <v>9.2999999999999999E-2</v>
      </c>
      <c r="R54" s="36">
        <v>9.2999999999999999E-2</v>
      </c>
      <c r="S54" s="36">
        <v>0</v>
      </c>
      <c r="T54" s="36">
        <v>1.8400000000000001E-3</v>
      </c>
      <c r="U54" s="50">
        <v>0.432</v>
      </c>
      <c r="V54" s="307">
        <v>0.38300000000000001</v>
      </c>
      <c r="W54" s="36">
        <v>0.38300000000000001</v>
      </c>
      <c r="X54" s="36">
        <v>0</v>
      </c>
      <c r="Y54" s="36">
        <v>4.9500000000000002E-2</v>
      </c>
      <c r="Z54" s="50">
        <v>0.17699999999999999</v>
      </c>
      <c r="AA54" s="83">
        <v>0.16500000000000001</v>
      </c>
      <c r="AB54" s="53">
        <v>1.21E-2</v>
      </c>
      <c r="AC54" s="308">
        <v>0</v>
      </c>
      <c r="AD54" s="45" t="s">
        <v>1197</v>
      </c>
      <c r="AE54" s="30" t="s">
        <v>1179</v>
      </c>
    </row>
    <row r="55" spans="1:31" s="305" customFormat="1">
      <c r="A55" s="1339" t="s">
        <v>1198</v>
      </c>
      <c r="B55" s="217" t="s">
        <v>1199</v>
      </c>
      <c r="C55" s="45" t="s">
        <v>1200</v>
      </c>
      <c r="D55" s="315" t="s">
        <v>1201</v>
      </c>
      <c r="E55" s="45" t="s">
        <v>1202</v>
      </c>
      <c r="F55" s="71">
        <v>600</v>
      </c>
      <c r="G55" s="47" t="s">
        <v>268</v>
      </c>
      <c r="H55" s="316">
        <v>665</v>
      </c>
      <c r="I55" s="314">
        <v>663</v>
      </c>
      <c r="J55" s="314">
        <v>1.69</v>
      </c>
      <c r="K55" s="79">
        <v>1.86</v>
      </c>
      <c r="L55" s="307">
        <v>1.86</v>
      </c>
      <c r="M55" s="36">
        <v>1.02</v>
      </c>
      <c r="N55" s="36">
        <v>0.83899999999999997</v>
      </c>
      <c r="O55" s="36">
        <v>3.1199999999999999E-4</v>
      </c>
      <c r="P55" s="79">
        <v>0.89900000000000002</v>
      </c>
      <c r="Q55" s="307">
        <v>0.89900000000000002</v>
      </c>
      <c r="R55" s="36">
        <v>6.0600000000000001E-2</v>
      </c>
      <c r="S55" s="317">
        <v>0.83899999999999997</v>
      </c>
      <c r="T55" s="307">
        <v>1.5999999999999999E-5</v>
      </c>
      <c r="U55" s="79">
        <v>0.95899999999999996</v>
      </c>
      <c r="V55" s="307">
        <v>0.95899999999999996</v>
      </c>
      <c r="W55" s="36">
        <v>0.95899999999999996</v>
      </c>
      <c r="X55" s="36">
        <v>0</v>
      </c>
      <c r="Y55" s="307">
        <v>2.9599999999999998E-4</v>
      </c>
      <c r="Z55" s="79">
        <v>0.32400000000000001</v>
      </c>
      <c r="AA55" s="83">
        <v>0.32400000000000001</v>
      </c>
      <c r="AB55" s="80">
        <v>7.3200000000000004E-5</v>
      </c>
      <c r="AC55" s="308">
        <v>6.4899999999999999E-2</v>
      </c>
      <c r="AD55" s="109" t="s">
        <v>1203</v>
      </c>
      <c r="AE55" s="45" t="s">
        <v>1204</v>
      </c>
    </row>
    <row r="56" spans="1:31" s="305" customFormat="1" ht="12.75" customHeight="1" outlineLevel="1">
      <c r="A56" s="318" t="s">
        <v>1205</v>
      </c>
      <c r="B56" s="60" t="s">
        <v>1206</v>
      </c>
      <c r="C56" s="94" t="s">
        <v>1207</v>
      </c>
      <c r="D56" s="95" t="s">
        <v>1201</v>
      </c>
      <c r="E56" s="94" t="s">
        <v>1202</v>
      </c>
      <c r="F56" s="96">
        <v>600</v>
      </c>
      <c r="G56" s="97" t="s">
        <v>268</v>
      </c>
      <c r="H56" s="98">
        <v>639</v>
      </c>
      <c r="I56" s="99">
        <v>638</v>
      </c>
      <c r="J56" s="99">
        <v>1.69</v>
      </c>
      <c r="K56" s="100">
        <v>1.79</v>
      </c>
      <c r="L56" s="319">
        <v>1.79</v>
      </c>
      <c r="M56" s="107">
        <v>0.94799999999999995</v>
      </c>
      <c r="N56" s="107">
        <v>0.83899999999999997</v>
      </c>
      <c r="O56" s="101">
        <v>3.1199999999999999E-4</v>
      </c>
      <c r="P56" s="100">
        <v>0.86499999999999999</v>
      </c>
      <c r="Q56" s="101">
        <v>0.86499999999999999</v>
      </c>
      <c r="R56" s="107">
        <v>2.5999999999999999E-2</v>
      </c>
      <c r="S56" s="320">
        <v>0.83899999999999997</v>
      </c>
      <c r="T56" s="101">
        <v>1.5999999999999999E-5</v>
      </c>
      <c r="U56" s="101">
        <v>0.92200000000000004</v>
      </c>
      <c r="V56" s="101">
        <v>0.92200000000000004</v>
      </c>
      <c r="W56" s="107">
        <v>0.92200000000000004</v>
      </c>
      <c r="X56" s="107">
        <v>0</v>
      </c>
      <c r="Y56" s="101">
        <v>2.9599999999999998E-4</v>
      </c>
      <c r="Z56" s="103">
        <v>0.312</v>
      </c>
      <c r="AA56" s="102">
        <v>0.312</v>
      </c>
      <c r="AB56" s="104">
        <v>7.3200000000000004E-5</v>
      </c>
      <c r="AC56" s="321">
        <v>6.4899999999999999E-2</v>
      </c>
      <c r="AD56" s="94" t="s">
        <v>1208</v>
      </c>
      <c r="AE56" s="94" t="s">
        <v>1204</v>
      </c>
    </row>
    <row r="57" spans="1:31" s="305" customFormat="1" ht="14.25" customHeight="1">
      <c r="A57" s="1960" t="s">
        <v>1209</v>
      </c>
      <c r="B57" s="1960"/>
      <c r="C57" s="1960"/>
      <c r="D57" s="1960"/>
      <c r="E57" s="1960"/>
      <c r="F57" s="1960"/>
      <c r="G57" s="1960"/>
      <c r="H57" s="1960"/>
      <c r="I57" s="1960"/>
      <c r="J57" s="1960"/>
      <c r="K57" s="1960"/>
      <c r="L57" s="1960"/>
      <c r="M57" s="1960"/>
      <c r="N57" s="1960"/>
      <c r="O57" s="1960"/>
      <c r="P57" s="1960"/>
      <c r="Q57" s="1960"/>
      <c r="R57" s="1960"/>
      <c r="S57" s="1960"/>
      <c r="T57" s="1960"/>
      <c r="U57" s="1960"/>
      <c r="V57" s="1960"/>
      <c r="W57" s="1960"/>
      <c r="X57" s="1960"/>
      <c r="Y57" s="1960"/>
      <c r="Z57" s="1960"/>
      <c r="AA57" s="1960"/>
      <c r="AB57" s="1960"/>
      <c r="AC57" s="1960"/>
      <c r="AD57" s="1960"/>
      <c r="AE57" s="1960"/>
    </row>
    <row r="58" spans="1:31" s="305" customFormat="1" ht="14.25" customHeight="1">
      <c r="A58" s="1960" t="s">
        <v>1210</v>
      </c>
      <c r="B58" s="1960"/>
      <c r="C58" s="1960"/>
      <c r="D58" s="1960"/>
      <c r="E58" s="1960"/>
      <c r="F58" s="1960"/>
      <c r="G58" s="1960"/>
      <c r="H58" s="1960"/>
      <c r="I58" s="1960"/>
      <c r="J58" s="1960"/>
      <c r="K58" s="1960"/>
      <c r="L58" s="1960"/>
      <c r="M58" s="1960"/>
      <c r="N58" s="1960"/>
      <c r="O58" s="1960"/>
      <c r="P58" s="1960"/>
      <c r="Q58" s="1960"/>
      <c r="R58" s="1960"/>
      <c r="S58" s="1960"/>
      <c r="T58" s="1960"/>
      <c r="U58" s="1960"/>
      <c r="V58" s="1960"/>
      <c r="W58" s="1960"/>
      <c r="X58" s="1960"/>
      <c r="Y58" s="1960"/>
      <c r="Z58" s="1960"/>
      <c r="AA58" s="1960"/>
      <c r="AB58" s="1960"/>
      <c r="AC58" s="1960"/>
      <c r="AD58" s="1960"/>
      <c r="AE58" s="1960"/>
    </row>
    <row r="59" spans="1:31" s="305" customFormat="1" ht="14.25">
      <c r="A59" s="298" t="s">
        <v>1211</v>
      </c>
      <c r="B59" s="298"/>
      <c r="C59" s="41" t="s">
        <v>1212</v>
      </c>
      <c r="D59" s="40"/>
      <c r="E59" s="41"/>
      <c r="F59" s="42" t="s">
        <v>1173</v>
      </c>
      <c r="G59" s="43"/>
      <c r="H59" s="299"/>
      <c r="I59" s="299"/>
      <c r="J59" s="299"/>
      <c r="K59" s="322"/>
      <c r="L59" s="301"/>
      <c r="M59" s="301"/>
      <c r="N59" s="301"/>
      <c r="O59" s="302"/>
      <c r="P59" s="322"/>
      <c r="Q59" s="301"/>
      <c r="R59" s="301"/>
      <c r="S59" s="301"/>
      <c r="T59" s="302"/>
      <c r="U59" s="303"/>
      <c r="V59" s="301"/>
      <c r="W59" s="301"/>
      <c r="X59" s="301"/>
      <c r="Y59" s="301"/>
      <c r="Z59" s="303"/>
      <c r="AA59" s="301"/>
      <c r="AB59" s="301"/>
      <c r="AC59" s="301"/>
      <c r="AD59" s="304" t="s">
        <v>1213</v>
      </c>
      <c r="AE59" s="41"/>
    </row>
    <row r="60" spans="1:31" s="305" customFormat="1">
      <c r="A60" s="323" t="s">
        <v>623</v>
      </c>
      <c r="B60" s="217" t="s">
        <v>1214</v>
      </c>
      <c r="C60" s="45" t="s">
        <v>1215</v>
      </c>
      <c r="D60" s="88" t="s">
        <v>1216</v>
      </c>
      <c r="E60" s="30" t="s">
        <v>1217</v>
      </c>
      <c r="F60" s="71">
        <v>900</v>
      </c>
      <c r="G60" s="47" t="s">
        <v>268</v>
      </c>
      <c r="H60" s="54">
        <v>371</v>
      </c>
      <c r="I60" s="74">
        <v>328</v>
      </c>
      <c r="J60" s="49">
        <v>42.5</v>
      </c>
      <c r="K60" s="72">
        <v>0.86699999999999999</v>
      </c>
      <c r="L60" s="307">
        <v>0.81299999999999994</v>
      </c>
      <c r="M60" s="39">
        <v>0.81299999999999994</v>
      </c>
      <c r="N60" s="39">
        <v>0</v>
      </c>
      <c r="O60" s="36">
        <v>5.4800000000000001E-2</v>
      </c>
      <c r="P60" s="72">
        <v>8.0600000000000005E-2</v>
      </c>
      <c r="Q60" s="307">
        <v>7.8299999999999995E-2</v>
      </c>
      <c r="R60" s="36">
        <v>7.8299999999999995E-2</v>
      </c>
      <c r="S60" s="36">
        <v>0</v>
      </c>
      <c r="T60" s="36">
        <v>2.2100000000000002E-3</v>
      </c>
      <c r="U60" s="72">
        <v>0.78700000000000003</v>
      </c>
      <c r="V60" s="307">
        <v>0.73399999999999999</v>
      </c>
      <c r="W60" s="36">
        <v>0.73399999999999999</v>
      </c>
      <c r="X60" s="36">
        <v>0</v>
      </c>
      <c r="Y60" s="36">
        <v>5.2600000000000001E-2</v>
      </c>
      <c r="Z60" s="50">
        <v>0.26600000000000001</v>
      </c>
      <c r="AA60" s="78">
        <v>0.254</v>
      </c>
      <c r="AB60" s="53">
        <v>1.2699999999999999E-2</v>
      </c>
      <c r="AC60" s="308">
        <v>0</v>
      </c>
      <c r="AD60" s="109" t="s">
        <v>1218</v>
      </c>
      <c r="AE60" s="30" t="s">
        <v>1219</v>
      </c>
    </row>
    <row r="61" spans="1:31" s="325" customFormat="1" ht="12.75" customHeight="1" outlineLevel="1">
      <c r="A61" s="324" t="s">
        <v>1220</v>
      </c>
      <c r="B61" s="60" t="s">
        <v>1221</v>
      </c>
      <c r="C61" s="60" t="s">
        <v>1222</v>
      </c>
      <c r="D61" s="61" t="s">
        <v>1216</v>
      </c>
      <c r="E61" s="60" t="s">
        <v>1217</v>
      </c>
      <c r="F61" s="62">
        <v>575</v>
      </c>
      <c r="G61" s="63" t="s">
        <v>268</v>
      </c>
      <c r="H61" s="64">
        <v>420</v>
      </c>
      <c r="I61" s="65">
        <v>378</v>
      </c>
      <c r="J61" s="65">
        <v>42.5</v>
      </c>
      <c r="K61" s="66">
        <v>1.02</v>
      </c>
      <c r="L61" s="319">
        <v>0.96399999999999997</v>
      </c>
      <c r="M61" s="107">
        <v>0.96399999999999997</v>
      </c>
      <c r="N61" s="107">
        <v>0</v>
      </c>
      <c r="O61" s="107">
        <v>5.4800000000000001E-2</v>
      </c>
      <c r="P61" s="66">
        <v>0.105</v>
      </c>
      <c r="Q61" s="319">
        <v>0.10299999999999999</v>
      </c>
      <c r="R61" s="107">
        <v>0.10299999999999999</v>
      </c>
      <c r="S61" s="107">
        <v>0</v>
      </c>
      <c r="T61" s="107">
        <v>2.2100000000000002E-3</v>
      </c>
      <c r="U61" s="66">
        <v>0.91400000000000003</v>
      </c>
      <c r="V61" s="319">
        <v>0.86099999999999999</v>
      </c>
      <c r="W61" s="107">
        <v>0.86099999999999999</v>
      </c>
      <c r="X61" s="107">
        <v>0</v>
      </c>
      <c r="Y61" s="67">
        <v>5.2600000000000001E-2</v>
      </c>
      <c r="Z61" s="69">
        <v>0.28299999999999997</v>
      </c>
      <c r="AA61" s="68">
        <v>0.27</v>
      </c>
      <c r="AB61" s="70">
        <v>1.2699999999999999E-2</v>
      </c>
      <c r="AC61" s="321">
        <v>0</v>
      </c>
      <c r="AD61" s="60" t="s">
        <v>1223</v>
      </c>
      <c r="AE61" s="60" t="s">
        <v>1219</v>
      </c>
    </row>
    <row r="62" spans="1:31" s="305" customFormat="1">
      <c r="A62" s="323" t="s">
        <v>804</v>
      </c>
      <c r="B62" s="217" t="s">
        <v>1224</v>
      </c>
      <c r="C62" s="45" t="s">
        <v>1225</v>
      </c>
      <c r="D62" s="88" t="s">
        <v>1216</v>
      </c>
      <c r="E62" s="30" t="s">
        <v>1217</v>
      </c>
      <c r="F62" s="71">
        <v>1400</v>
      </c>
      <c r="G62" s="47" t="s">
        <v>268</v>
      </c>
      <c r="H62" s="54">
        <v>258</v>
      </c>
      <c r="I62" s="74">
        <v>216</v>
      </c>
      <c r="J62" s="49">
        <v>42.5</v>
      </c>
      <c r="K62" s="72">
        <v>0.42799999999999999</v>
      </c>
      <c r="L62" s="307">
        <v>0.374</v>
      </c>
      <c r="M62" s="39">
        <v>0.374</v>
      </c>
      <c r="N62" s="39">
        <v>0</v>
      </c>
      <c r="O62" s="36">
        <v>5.4800000000000001E-2</v>
      </c>
      <c r="P62" s="72">
        <v>3.9E-2</v>
      </c>
      <c r="Q62" s="307">
        <v>3.6799999999999999E-2</v>
      </c>
      <c r="R62" s="36">
        <v>3.6799999999999999E-2</v>
      </c>
      <c r="S62" s="36">
        <v>0</v>
      </c>
      <c r="T62" s="36">
        <v>2.2100000000000002E-3</v>
      </c>
      <c r="U62" s="72">
        <v>0.38900000000000001</v>
      </c>
      <c r="V62" s="307">
        <v>0.33700000000000002</v>
      </c>
      <c r="W62" s="36">
        <v>0.33700000000000002</v>
      </c>
      <c r="X62" s="36">
        <v>0</v>
      </c>
      <c r="Y62" s="36">
        <v>5.2600000000000001E-2</v>
      </c>
      <c r="Z62" s="50">
        <v>0.16200000000000001</v>
      </c>
      <c r="AA62" s="78">
        <v>0.14899999999999999</v>
      </c>
      <c r="AB62" s="53">
        <v>1.2699999999999999E-2</v>
      </c>
      <c r="AC62" s="308">
        <v>0</v>
      </c>
      <c r="AD62" s="109" t="s">
        <v>1226</v>
      </c>
      <c r="AE62" s="30" t="s">
        <v>1219</v>
      </c>
    </row>
    <row r="63" spans="1:31" s="305" customFormat="1" ht="12.75" customHeight="1" outlineLevel="1">
      <c r="A63" s="318" t="s">
        <v>1227</v>
      </c>
      <c r="B63" s="60" t="s">
        <v>1228</v>
      </c>
      <c r="C63" s="94" t="s">
        <v>1229</v>
      </c>
      <c r="D63" s="61" t="s">
        <v>1216</v>
      </c>
      <c r="E63" s="60" t="s">
        <v>1217</v>
      </c>
      <c r="F63" s="62" t="s">
        <v>1230</v>
      </c>
      <c r="G63" s="97" t="s">
        <v>268</v>
      </c>
      <c r="H63" s="64">
        <v>196</v>
      </c>
      <c r="I63" s="99">
        <v>153</v>
      </c>
      <c r="J63" s="65">
        <v>42.5</v>
      </c>
      <c r="K63" s="66">
        <v>0.35</v>
      </c>
      <c r="L63" s="101">
        <v>0.29499999999999998</v>
      </c>
      <c r="M63" s="107">
        <v>0.29499999999999998</v>
      </c>
      <c r="N63" s="107">
        <v>0</v>
      </c>
      <c r="O63" s="67">
        <v>5.4800000000000001E-2</v>
      </c>
      <c r="P63" s="66">
        <v>3.4700000000000002E-2</v>
      </c>
      <c r="Q63" s="319">
        <v>3.2500000000000001E-2</v>
      </c>
      <c r="R63" s="107">
        <v>3.2500000000000001E-2</v>
      </c>
      <c r="S63" s="107">
        <v>0</v>
      </c>
      <c r="T63" s="67">
        <v>2.2100000000000002E-3</v>
      </c>
      <c r="U63" s="67">
        <v>0.315</v>
      </c>
      <c r="V63" s="101">
        <v>0.26300000000000001</v>
      </c>
      <c r="W63" s="107">
        <v>0.26300000000000001</v>
      </c>
      <c r="X63" s="107">
        <v>0</v>
      </c>
      <c r="Y63" s="67">
        <v>5.2600000000000001E-2</v>
      </c>
      <c r="Z63" s="69">
        <v>0.115</v>
      </c>
      <c r="AA63" s="102">
        <v>0.10199999999999999</v>
      </c>
      <c r="AB63" s="70">
        <v>1.2699999999999999E-2</v>
      </c>
      <c r="AC63" s="321">
        <v>0</v>
      </c>
      <c r="AD63" s="94" t="s">
        <v>1231</v>
      </c>
      <c r="AE63" s="60" t="s">
        <v>1219</v>
      </c>
    </row>
    <row r="64" spans="1:31" s="325" customFormat="1" ht="12.75" customHeight="1" outlineLevel="1">
      <c r="A64" s="324" t="s">
        <v>1232</v>
      </c>
      <c r="B64" s="60" t="s">
        <v>1233</v>
      </c>
      <c r="C64" s="60" t="s">
        <v>1234</v>
      </c>
      <c r="D64" s="61" t="s">
        <v>1216</v>
      </c>
      <c r="E64" s="60" t="s">
        <v>1217</v>
      </c>
      <c r="F64" s="62" t="s">
        <v>1230</v>
      </c>
      <c r="G64" s="63" t="s">
        <v>268</v>
      </c>
      <c r="H64" s="64">
        <v>190</v>
      </c>
      <c r="I64" s="65">
        <v>148</v>
      </c>
      <c r="J64" s="65">
        <v>42.5</v>
      </c>
      <c r="K64" s="66">
        <v>0.30399999999999999</v>
      </c>
      <c r="L64" s="67">
        <v>0.249</v>
      </c>
      <c r="M64" s="107">
        <v>0.249</v>
      </c>
      <c r="N64" s="107">
        <v>0</v>
      </c>
      <c r="O64" s="67">
        <v>5.4800000000000001E-2</v>
      </c>
      <c r="P64" s="66">
        <v>1.67E-2</v>
      </c>
      <c r="Q64" s="107">
        <v>1.4500000000000001E-2</v>
      </c>
      <c r="R64" s="107">
        <v>1.4500000000000001E-2</v>
      </c>
      <c r="S64" s="107">
        <v>0</v>
      </c>
      <c r="T64" s="67">
        <v>2.2100000000000002E-3</v>
      </c>
      <c r="U64" s="67">
        <v>0.28699999999999998</v>
      </c>
      <c r="V64" s="67">
        <v>0.23499999999999999</v>
      </c>
      <c r="W64" s="107">
        <v>0.23499999999999999</v>
      </c>
      <c r="X64" s="107">
        <v>0</v>
      </c>
      <c r="Y64" s="67">
        <v>5.2600000000000001E-2</v>
      </c>
      <c r="Z64" s="69">
        <v>0.106</v>
      </c>
      <c r="AA64" s="68">
        <v>9.3799999999999994E-2</v>
      </c>
      <c r="AB64" s="70">
        <v>1.2699999999999999E-2</v>
      </c>
      <c r="AC64" s="321">
        <v>0</v>
      </c>
      <c r="AD64" s="60" t="s">
        <v>1235</v>
      </c>
      <c r="AE64" s="60" t="s">
        <v>1219</v>
      </c>
    </row>
    <row r="65" spans="1:31" s="305" customFormat="1">
      <c r="A65" s="323" t="s">
        <v>1236</v>
      </c>
      <c r="B65" s="217" t="s">
        <v>1237</v>
      </c>
      <c r="C65" s="45" t="s">
        <v>1238</v>
      </c>
      <c r="D65" s="88" t="s">
        <v>1216</v>
      </c>
      <c r="E65" s="30" t="s">
        <v>1217</v>
      </c>
      <c r="F65" s="71">
        <v>700</v>
      </c>
      <c r="G65" s="47" t="s">
        <v>268</v>
      </c>
      <c r="H65" s="54">
        <v>353</v>
      </c>
      <c r="I65" s="74">
        <v>311</v>
      </c>
      <c r="J65" s="49">
        <v>42.5</v>
      </c>
      <c r="K65" s="72">
        <v>1.56</v>
      </c>
      <c r="L65" s="307">
        <v>1.5</v>
      </c>
      <c r="M65" s="39">
        <v>1.5</v>
      </c>
      <c r="N65" s="39">
        <v>0</v>
      </c>
      <c r="O65" s="36">
        <v>5.4800000000000001E-2</v>
      </c>
      <c r="P65" s="72">
        <v>0.79300000000000004</v>
      </c>
      <c r="Q65" s="307">
        <v>0.79100000000000004</v>
      </c>
      <c r="R65" s="36">
        <v>0.79100000000000004</v>
      </c>
      <c r="S65" s="36">
        <v>0</v>
      </c>
      <c r="T65" s="36">
        <v>2.2100000000000002E-3</v>
      </c>
      <c r="U65" s="72">
        <v>0.76400000000000001</v>
      </c>
      <c r="V65" s="307">
        <v>0.71099999999999997</v>
      </c>
      <c r="W65" s="36">
        <v>0.71099999999999997</v>
      </c>
      <c r="X65" s="36">
        <v>0</v>
      </c>
      <c r="Y65" s="36">
        <v>5.2600000000000001E-2</v>
      </c>
      <c r="Z65" s="50">
        <v>0.18</v>
      </c>
      <c r="AA65" s="78">
        <v>0.16700000000000001</v>
      </c>
      <c r="AB65" s="53">
        <v>1.2699999999999999E-2</v>
      </c>
      <c r="AC65" s="308">
        <v>0</v>
      </c>
      <c r="AD65" s="109" t="s">
        <v>1239</v>
      </c>
      <c r="AE65" s="30" t="s">
        <v>1219</v>
      </c>
    </row>
    <row r="66" spans="1:31" s="305" customFormat="1">
      <c r="A66" s="323" t="s">
        <v>1240</v>
      </c>
      <c r="B66" s="217" t="s">
        <v>1241</v>
      </c>
      <c r="C66" s="45" t="s">
        <v>1242</v>
      </c>
      <c r="D66" s="88" t="s">
        <v>1216</v>
      </c>
      <c r="E66" s="30" t="s">
        <v>1217</v>
      </c>
      <c r="F66" s="71">
        <v>1200</v>
      </c>
      <c r="G66" s="47" t="s">
        <v>268</v>
      </c>
      <c r="H66" s="54">
        <v>609</v>
      </c>
      <c r="I66" s="74">
        <v>566</v>
      </c>
      <c r="J66" s="49">
        <v>42.5</v>
      </c>
      <c r="K66" s="72">
        <v>1.48</v>
      </c>
      <c r="L66" s="307">
        <v>1.42</v>
      </c>
      <c r="M66" s="39">
        <v>1.42</v>
      </c>
      <c r="N66" s="39">
        <v>0</v>
      </c>
      <c r="O66" s="36">
        <v>5.4800000000000001E-2</v>
      </c>
      <c r="P66" s="72">
        <v>5.6399999999999999E-2</v>
      </c>
      <c r="Q66" s="307">
        <v>5.4100000000000002E-2</v>
      </c>
      <c r="R66" s="36">
        <v>5.4100000000000002E-2</v>
      </c>
      <c r="S66" s="36">
        <v>0</v>
      </c>
      <c r="T66" s="36">
        <v>2.2100000000000002E-3</v>
      </c>
      <c r="U66" s="72">
        <v>1.42</v>
      </c>
      <c r="V66" s="307">
        <v>1.37</v>
      </c>
      <c r="W66" s="36">
        <v>1.37</v>
      </c>
      <c r="X66" s="36">
        <v>0</v>
      </c>
      <c r="Y66" s="36">
        <v>5.2600000000000001E-2</v>
      </c>
      <c r="Z66" s="50">
        <v>0.42799999999999999</v>
      </c>
      <c r="AA66" s="78">
        <v>0.41499999999999998</v>
      </c>
      <c r="AB66" s="53">
        <v>1.2699999999999999E-2</v>
      </c>
      <c r="AC66" s="308">
        <v>0</v>
      </c>
      <c r="AD66" s="109" t="s">
        <v>1243</v>
      </c>
      <c r="AE66" s="30" t="s">
        <v>1219</v>
      </c>
    </row>
    <row r="67" spans="1:31" s="305" customFormat="1">
      <c r="A67" s="323" t="s">
        <v>1244</v>
      </c>
      <c r="B67" s="217" t="s">
        <v>1245</v>
      </c>
      <c r="C67" s="45" t="s">
        <v>1246</v>
      </c>
      <c r="D67" s="88" t="s">
        <v>1216</v>
      </c>
      <c r="E67" s="30" t="s">
        <v>1217</v>
      </c>
      <c r="F67" s="71">
        <v>1200</v>
      </c>
      <c r="G67" s="47" t="s">
        <v>268</v>
      </c>
      <c r="H67" s="54">
        <v>322</v>
      </c>
      <c r="I67" s="74">
        <v>280</v>
      </c>
      <c r="J67" s="49">
        <v>42.5</v>
      </c>
      <c r="K67" s="72">
        <v>0.4</v>
      </c>
      <c r="L67" s="307">
        <v>0.34499999999999997</v>
      </c>
      <c r="M67" s="39">
        <v>0.34499999999999997</v>
      </c>
      <c r="N67" s="39">
        <v>0</v>
      </c>
      <c r="O67" s="36">
        <v>5.4800000000000001E-2</v>
      </c>
      <c r="P67" s="72">
        <v>3.6700000000000003E-2</v>
      </c>
      <c r="Q67" s="307">
        <v>3.4500000000000003E-2</v>
      </c>
      <c r="R67" s="36">
        <v>3.4500000000000003E-2</v>
      </c>
      <c r="S67" s="36">
        <v>0</v>
      </c>
      <c r="T67" s="36">
        <v>2.2100000000000002E-3</v>
      </c>
      <c r="U67" s="72">
        <v>0.36299999999999999</v>
      </c>
      <c r="V67" s="307">
        <v>0.311</v>
      </c>
      <c r="W67" s="36">
        <v>0.311</v>
      </c>
      <c r="X67" s="36">
        <v>0</v>
      </c>
      <c r="Y67" s="36">
        <v>5.2600000000000001E-2</v>
      </c>
      <c r="Z67" s="50">
        <v>0.21199999999999999</v>
      </c>
      <c r="AA67" s="78">
        <v>0.2</v>
      </c>
      <c r="AB67" s="53">
        <v>1.2699999999999999E-2</v>
      </c>
      <c r="AC67" s="308">
        <v>0</v>
      </c>
      <c r="AD67" s="109" t="s">
        <v>1247</v>
      </c>
      <c r="AE67" s="30" t="s">
        <v>1219</v>
      </c>
    </row>
    <row r="68" spans="1:31" s="305" customFormat="1">
      <c r="A68" s="323" t="s">
        <v>864</v>
      </c>
      <c r="B68" s="217" t="s">
        <v>1248</v>
      </c>
      <c r="C68" s="45" t="s">
        <v>1249</v>
      </c>
      <c r="D68" s="88" t="s">
        <v>1216</v>
      </c>
      <c r="E68" s="30" t="s">
        <v>1217</v>
      </c>
      <c r="F68" s="71">
        <v>500</v>
      </c>
      <c r="G68" s="47" t="s">
        <v>268</v>
      </c>
      <c r="H68" s="54">
        <v>573</v>
      </c>
      <c r="I68" s="74">
        <v>531</v>
      </c>
      <c r="J68" s="49">
        <v>42.5</v>
      </c>
      <c r="K68" s="72">
        <v>0.93</v>
      </c>
      <c r="L68" s="307">
        <v>0.876</v>
      </c>
      <c r="M68" s="39">
        <v>0.876</v>
      </c>
      <c r="N68" s="39">
        <v>0</v>
      </c>
      <c r="O68" s="36">
        <v>5.4800000000000001E-2</v>
      </c>
      <c r="P68" s="72">
        <v>7.0900000000000005E-2</v>
      </c>
      <c r="Q68" s="307">
        <v>6.8699999999999997E-2</v>
      </c>
      <c r="R68" s="36">
        <v>6.8699999999999997E-2</v>
      </c>
      <c r="S68" s="36">
        <v>0</v>
      </c>
      <c r="T68" s="36">
        <v>2.2100000000000002E-3</v>
      </c>
      <c r="U68" s="72">
        <v>0.86</v>
      </c>
      <c r="V68" s="307">
        <v>0.80700000000000005</v>
      </c>
      <c r="W68" s="36">
        <v>0.80700000000000005</v>
      </c>
      <c r="X68" s="36">
        <v>0</v>
      </c>
      <c r="Y68" s="36">
        <v>5.2600000000000001E-2</v>
      </c>
      <c r="Z68" s="50">
        <v>0.42599999999999999</v>
      </c>
      <c r="AA68" s="78">
        <v>0.41299999999999998</v>
      </c>
      <c r="AB68" s="53">
        <v>1.2699999999999999E-2</v>
      </c>
      <c r="AC68" s="308">
        <v>0</v>
      </c>
      <c r="AD68" s="109" t="s">
        <v>1250</v>
      </c>
      <c r="AE68" s="30" t="s">
        <v>1219</v>
      </c>
    </row>
    <row r="69" spans="1:31" s="305" customFormat="1">
      <c r="A69" s="323" t="s">
        <v>1251</v>
      </c>
      <c r="B69" s="217" t="s">
        <v>1252</v>
      </c>
      <c r="C69" s="45" t="s">
        <v>1253</v>
      </c>
      <c r="D69" s="88" t="s">
        <v>1216</v>
      </c>
      <c r="E69" s="30" t="s">
        <v>1217</v>
      </c>
      <c r="F69" s="71">
        <v>1700</v>
      </c>
      <c r="G69" s="47" t="s">
        <v>268</v>
      </c>
      <c r="H69" s="54">
        <v>214</v>
      </c>
      <c r="I69" s="55">
        <v>172</v>
      </c>
      <c r="J69" s="49">
        <v>42.5</v>
      </c>
      <c r="K69" s="72">
        <v>0.252</v>
      </c>
      <c r="L69" s="36">
        <v>0.19700000000000001</v>
      </c>
      <c r="M69" s="39">
        <v>0.19700000000000001</v>
      </c>
      <c r="N69" s="39">
        <v>0</v>
      </c>
      <c r="O69" s="36">
        <v>5.4800000000000001E-2</v>
      </c>
      <c r="P69" s="72">
        <v>2.63E-2</v>
      </c>
      <c r="Q69" s="36">
        <v>2.41E-2</v>
      </c>
      <c r="R69" s="36">
        <v>2.41E-2</v>
      </c>
      <c r="S69" s="36">
        <v>0</v>
      </c>
      <c r="T69" s="36">
        <v>2.2100000000000002E-3</v>
      </c>
      <c r="U69" s="50">
        <v>0.22500000000000001</v>
      </c>
      <c r="V69" s="36">
        <v>0.17299999999999999</v>
      </c>
      <c r="W69" s="36">
        <v>0.17299999999999999</v>
      </c>
      <c r="X69" s="36">
        <v>0</v>
      </c>
      <c r="Y69" s="36">
        <v>5.2600000000000001E-2</v>
      </c>
      <c r="Z69" s="50">
        <v>0.126</v>
      </c>
      <c r="AA69" s="31">
        <v>0.114</v>
      </c>
      <c r="AB69" s="53">
        <v>1.2699999999999999E-2</v>
      </c>
      <c r="AC69" s="308">
        <v>0</v>
      </c>
      <c r="AD69" s="109" t="s">
        <v>1254</v>
      </c>
      <c r="AE69" s="30" t="s">
        <v>1219</v>
      </c>
    </row>
    <row r="70" spans="1:31" s="325" customFormat="1" ht="12.75" customHeight="1" outlineLevel="1">
      <c r="A70" s="324" t="s">
        <v>1255</v>
      </c>
      <c r="B70" s="60" t="s">
        <v>1256</v>
      </c>
      <c r="C70" s="60" t="s">
        <v>1257</v>
      </c>
      <c r="D70" s="61" t="s">
        <v>1258</v>
      </c>
      <c r="E70" s="60" t="s">
        <v>1259</v>
      </c>
      <c r="F70" s="62">
        <v>1850</v>
      </c>
      <c r="G70" s="63" t="s">
        <v>268</v>
      </c>
      <c r="H70" s="64">
        <v>136</v>
      </c>
      <c r="I70" s="65">
        <v>84</v>
      </c>
      <c r="J70" s="65">
        <v>51.6</v>
      </c>
      <c r="K70" s="66">
        <v>0.152</v>
      </c>
      <c r="L70" s="107">
        <v>0.13900000000000001</v>
      </c>
      <c r="M70" s="107">
        <v>0.13200000000000001</v>
      </c>
      <c r="N70" s="107">
        <v>7.0099999999999997E-3</v>
      </c>
      <c r="O70" s="107">
        <v>1.2999999999999999E-2</v>
      </c>
      <c r="P70" s="66">
        <v>0.01</v>
      </c>
      <c r="Q70" s="107">
        <v>0.01</v>
      </c>
      <c r="R70" s="107">
        <v>5.7299999999999999E-3</v>
      </c>
      <c r="S70" s="107">
        <v>4.2700000000000004E-3</v>
      </c>
      <c r="T70" s="67">
        <v>0</v>
      </c>
      <c r="U70" s="67">
        <v>0.14199999999999999</v>
      </c>
      <c r="V70" s="67">
        <v>0.129</v>
      </c>
      <c r="W70" s="107">
        <v>0.126</v>
      </c>
      <c r="X70" s="107">
        <v>2.7399999999999998E-3</v>
      </c>
      <c r="Y70" s="67">
        <v>1.2999999999999999E-2</v>
      </c>
      <c r="Z70" s="69">
        <v>5.7000000000000002E-2</v>
      </c>
      <c r="AA70" s="68">
        <v>5.3999999999999999E-2</v>
      </c>
      <c r="AB70" s="70">
        <v>3.0000000000000001E-3</v>
      </c>
      <c r="AC70" s="321">
        <v>0</v>
      </c>
      <c r="AD70" s="60" t="s">
        <v>1260</v>
      </c>
      <c r="AE70" s="60" t="s">
        <v>1261</v>
      </c>
    </row>
    <row r="71" spans="1:31" s="326" customFormat="1" ht="12.75" customHeight="1" outlineLevel="1">
      <c r="A71" s="324" t="s">
        <v>1262</v>
      </c>
      <c r="B71" s="60" t="s">
        <v>1263</v>
      </c>
      <c r="C71" s="60" t="s">
        <v>1264</v>
      </c>
      <c r="D71" s="61" t="s">
        <v>1265</v>
      </c>
      <c r="E71" s="60" t="s">
        <v>1266</v>
      </c>
      <c r="F71" s="62">
        <v>300</v>
      </c>
      <c r="G71" s="63" t="s">
        <v>268</v>
      </c>
      <c r="H71" s="64">
        <v>824</v>
      </c>
      <c r="I71" s="65">
        <v>751</v>
      </c>
      <c r="J71" s="65">
        <v>72.099999999999994</v>
      </c>
      <c r="K71" s="66">
        <v>3.72</v>
      </c>
      <c r="L71" s="107">
        <v>3.57</v>
      </c>
      <c r="M71" s="107">
        <v>1.86</v>
      </c>
      <c r="N71" s="107">
        <v>1.72</v>
      </c>
      <c r="O71" s="107">
        <v>0.14899999999999999</v>
      </c>
      <c r="P71" s="66">
        <v>1.81</v>
      </c>
      <c r="Q71" s="107">
        <v>1.8</v>
      </c>
      <c r="R71" s="107">
        <v>8.7300000000000003E-2</v>
      </c>
      <c r="S71" s="107">
        <v>1.72</v>
      </c>
      <c r="T71" s="67">
        <v>4.3099999999999996E-3</v>
      </c>
      <c r="U71" s="67">
        <v>1.91</v>
      </c>
      <c r="V71" s="67">
        <v>1.77</v>
      </c>
      <c r="W71" s="107">
        <v>1.77</v>
      </c>
      <c r="X71" s="107">
        <v>0</v>
      </c>
      <c r="Y71" s="67">
        <v>0.14499999999999999</v>
      </c>
      <c r="Z71" s="69">
        <v>0.372</v>
      </c>
      <c r="AA71" s="68">
        <v>0.33800000000000002</v>
      </c>
      <c r="AB71" s="70">
        <v>3.3399999999999999E-2</v>
      </c>
      <c r="AC71" s="321">
        <v>0.15</v>
      </c>
      <c r="AD71" s="60" t="s">
        <v>1267</v>
      </c>
      <c r="AE71" s="60" t="s">
        <v>1268</v>
      </c>
    </row>
    <row r="72" spans="1:31" s="305" customFormat="1" ht="14.25">
      <c r="A72" s="298" t="s">
        <v>1269</v>
      </c>
      <c r="B72" s="691"/>
      <c r="C72" s="41" t="s">
        <v>1270</v>
      </c>
      <c r="D72" s="40"/>
      <c r="E72" s="41"/>
      <c r="F72" s="42" t="s">
        <v>1173</v>
      </c>
      <c r="G72" s="43"/>
      <c r="H72" s="327"/>
      <c r="I72" s="299"/>
      <c r="J72" s="327"/>
      <c r="K72" s="328"/>
      <c r="L72" s="329"/>
      <c r="M72" s="312"/>
      <c r="N72" s="312"/>
      <c r="O72" s="330"/>
      <c r="P72" s="329"/>
      <c r="Q72" s="329"/>
      <c r="R72" s="312"/>
      <c r="S72" s="312"/>
      <c r="T72" s="329"/>
      <c r="U72" s="329"/>
      <c r="V72" s="329"/>
      <c r="W72" s="312"/>
      <c r="X72" s="312"/>
      <c r="Y72" s="329"/>
      <c r="Z72" s="329"/>
      <c r="AA72" s="322"/>
      <c r="AB72" s="322"/>
      <c r="AC72" s="322"/>
      <c r="AD72" s="322" t="s">
        <v>1271</v>
      </c>
      <c r="AE72" s="41"/>
    </row>
    <row r="73" spans="1:31" s="325" customFormat="1" ht="14.25">
      <c r="A73" s="331" t="s">
        <v>1272</v>
      </c>
      <c r="B73" s="217" t="s">
        <v>1273</v>
      </c>
      <c r="C73" s="30" t="s">
        <v>3700</v>
      </c>
      <c r="D73" s="44" t="s">
        <v>1274</v>
      </c>
      <c r="E73" s="30" t="s">
        <v>1275</v>
      </c>
      <c r="F73" s="46">
        <v>1500</v>
      </c>
      <c r="G73" s="32" t="s">
        <v>268</v>
      </c>
      <c r="H73" s="54">
        <v>43.3</v>
      </c>
      <c r="I73" s="55">
        <v>3.16</v>
      </c>
      <c r="J73" s="49">
        <v>40.200000000000003</v>
      </c>
      <c r="K73" s="72">
        <v>6.54E-2</v>
      </c>
      <c r="L73" s="36">
        <v>1.0500000000000001E-2</v>
      </c>
      <c r="M73" s="39">
        <v>1.0500000000000001E-2</v>
      </c>
      <c r="N73" s="39">
        <v>0</v>
      </c>
      <c r="O73" s="36">
        <v>5.4800000000000001E-2</v>
      </c>
      <c r="P73" s="72">
        <v>3.7399999999999998E-3</v>
      </c>
      <c r="Q73" s="36">
        <v>1.48E-3</v>
      </c>
      <c r="R73" s="36">
        <v>1.48E-3</v>
      </c>
      <c r="S73" s="36">
        <v>0</v>
      </c>
      <c r="T73" s="36">
        <v>2.2599999999999999E-3</v>
      </c>
      <c r="U73" s="72">
        <v>6.1600000000000002E-2</v>
      </c>
      <c r="V73" s="36">
        <v>9.0500000000000008E-3</v>
      </c>
      <c r="W73" s="36">
        <v>9.0500000000000008E-3</v>
      </c>
      <c r="X73" s="36">
        <v>0</v>
      </c>
      <c r="Y73" s="36">
        <v>5.2600000000000001E-2</v>
      </c>
      <c r="Z73" s="50">
        <v>1.4E-2</v>
      </c>
      <c r="AA73" s="31">
        <v>1.32E-3</v>
      </c>
      <c r="AB73" s="53">
        <v>1.26E-2</v>
      </c>
      <c r="AC73" s="308">
        <v>0</v>
      </c>
      <c r="AD73" s="332" t="s">
        <v>3701</v>
      </c>
      <c r="AE73" s="30" t="s">
        <v>1276</v>
      </c>
    </row>
    <row r="74" spans="1:31" s="305" customFormat="1">
      <c r="A74" s="323" t="s">
        <v>1277</v>
      </c>
      <c r="B74" s="217" t="s">
        <v>1278</v>
      </c>
      <c r="C74" s="45" t="s">
        <v>1279</v>
      </c>
      <c r="D74" s="88" t="s">
        <v>1216</v>
      </c>
      <c r="E74" s="30" t="s">
        <v>1217</v>
      </c>
      <c r="F74" s="71">
        <v>2300</v>
      </c>
      <c r="G74" s="47" t="s">
        <v>268</v>
      </c>
      <c r="H74" s="54">
        <v>326</v>
      </c>
      <c r="I74" s="74">
        <v>284</v>
      </c>
      <c r="J74" s="49">
        <v>42.5</v>
      </c>
      <c r="K74" s="72">
        <v>0.50600000000000001</v>
      </c>
      <c r="L74" s="307">
        <v>0.45200000000000001</v>
      </c>
      <c r="M74" s="39">
        <v>0.45200000000000001</v>
      </c>
      <c r="N74" s="39">
        <v>0</v>
      </c>
      <c r="O74" s="36">
        <v>5.4800000000000001E-2</v>
      </c>
      <c r="P74" s="72">
        <v>3.7999999999999999E-2</v>
      </c>
      <c r="Q74" s="307">
        <v>3.5799999999999998E-2</v>
      </c>
      <c r="R74" s="36">
        <v>3.5799999999999998E-2</v>
      </c>
      <c r="S74" s="36">
        <v>0</v>
      </c>
      <c r="T74" s="36">
        <v>2.2100000000000002E-3</v>
      </c>
      <c r="U74" s="72">
        <v>0.46800000000000003</v>
      </c>
      <c r="V74" s="307">
        <v>0.41599999999999998</v>
      </c>
      <c r="W74" s="36">
        <v>0.41599999999999998</v>
      </c>
      <c r="X74" s="36">
        <v>0</v>
      </c>
      <c r="Y74" s="36">
        <v>5.2600000000000001E-2</v>
      </c>
      <c r="Z74" s="50">
        <v>0.20899999999999999</v>
      </c>
      <c r="AA74" s="78">
        <v>0.19600000000000001</v>
      </c>
      <c r="AB74" s="53">
        <v>1.2699999999999999E-2</v>
      </c>
      <c r="AC74" s="308">
        <v>0</v>
      </c>
      <c r="AD74" s="109" t="s">
        <v>1280</v>
      </c>
      <c r="AE74" s="30" t="s">
        <v>1219</v>
      </c>
    </row>
    <row r="75" spans="1:31" s="305" customFormat="1">
      <c r="A75" s="323" t="s">
        <v>1281</v>
      </c>
      <c r="B75" s="217" t="s">
        <v>1282</v>
      </c>
      <c r="C75" s="45" t="s">
        <v>1283</v>
      </c>
      <c r="D75" s="88" t="s">
        <v>1284</v>
      </c>
      <c r="E75" s="30" t="s">
        <v>1285</v>
      </c>
      <c r="F75" s="71">
        <v>1800</v>
      </c>
      <c r="G75" s="47" t="s">
        <v>268</v>
      </c>
      <c r="H75" s="54">
        <v>1100</v>
      </c>
      <c r="I75" s="74">
        <v>1030</v>
      </c>
      <c r="J75" s="49">
        <v>67.8</v>
      </c>
      <c r="K75" s="86">
        <v>2.66</v>
      </c>
      <c r="L75" s="307">
        <v>2.6</v>
      </c>
      <c r="M75" s="39">
        <v>2.6</v>
      </c>
      <c r="N75" s="39">
        <v>0</v>
      </c>
      <c r="O75" s="36">
        <v>5.4399999999999997E-2</v>
      </c>
      <c r="P75" s="86">
        <v>0.496</v>
      </c>
      <c r="Q75" s="307">
        <v>0.495</v>
      </c>
      <c r="R75" s="36">
        <v>0.495</v>
      </c>
      <c r="S75" s="36">
        <v>0</v>
      </c>
      <c r="T75" s="36">
        <v>1.6000000000000001E-3</v>
      </c>
      <c r="U75" s="72">
        <v>2.16</v>
      </c>
      <c r="V75" s="307">
        <v>2.11</v>
      </c>
      <c r="W75" s="36">
        <v>2.11</v>
      </c>
      <c r="X75" s="36">
        <v>0</v>
      </c>
      <c r="Y75" s="36">
        <v>5.28E-2</v>
      </c>
      <c r="Z75" s="50">
        <v>0.69899999999999995</v>
      </c>
      <c r="AA75" s="78">
        <v>0.68600000000000005</v>
      </c>
      <c r="AB75" s="52">
        <v>1.32E-2</v>
      </c>
      <c r="AC75" s="308">
        <v>0</v>
      </c>
      <c r="AD75" s="109" t="s">
        <v>1286</v>
      </c>
      <c r="AE75" s="30" t="s">
        <v>1287</v>
      </c>
    </row>
    <row r="76" spans="1:31" s="305" customFormat="1">
      <c r="A76" s="323" t="s">
        <v>669</v>
      </c>
      <c r="B76" s="217" t="s">
        <v>1288</v>
      </c>
      <c r="C76" s="45" t="s">
        <v>1289</v>
      </c>
      <c r="D76" s="88" t="s">
        <v>1284</v>
      </c>
      <c r="E76" s="30" t="s">
        <v>1285</v>
      </c>
      <c r="F76" s="71">
        <v>1800</v>
      </c>
      <c r="G76" s="47" t="s">
        <v>268</v>
      </c>
      <c r="H76" s="33">
        <v>1510</v>
      </c>
      <c r="I76" s="85">
        <v>1450</v>
      </c>
      <c r="J76" s="49">
        <v>67.8</v>
      </c>
      <c r="K76" s="86">
        <v>3.54</v>
      </c>
      <c r="L76" s="307">
        <v>3.49</v>
      </c>
      <c r="M76" s="39">
        <v>3.49</v>
      </c>
      <c r="N76" s="39">
        <v>0</v>
      </c>
      <c r="O76" s="36">
        <v>5.4399999999999997E-2</v>
      </c>
      <c r="P76" s="86">
        <v>0.62</v>
      </c>
      <c r="Q76" s="307">
        <v>0.61899999999999999</v>
      </c>
      <c r="R76" s="36">
        <v>0.61899999999999999</v>
      </c>
      <c r="S76" s="36">
        <v>0</v>
      </c>
      <c r="T76" s="36">
        <v>1.6000000000000001E-3</v>
      </c>
      <c r="U76" s="86">
        <v>2.92</v>
      </c>
      <c r="V76" s="307">
        <v>2.87</v>
      </c>
      <c r="W76" s="36">
        <v>2.87</v>
      </c>
      <c r="X76" s="36">
        <v>0</v>
      </c>
      <c r="Y76" s="36">
        <v>5.28E-2</v>
      </c>
      <c r="Z76" s="72">
        <v>1.03</v>
      </c>
      <c r="AA76" s="77">
        <v>1.02</v>
      </c>
      <c r="AB76" s="52">
        <v>1.32E-2</v>
      </c>
      <c r="AC76" s="308">
        <v>0</v>
      </c>
      <c r="AD76" s="109" t="s">
        <v>1290</v>
      </c>
      <c r="AE76" s="30" t="s">
        <v>1287</v>
      </c>
    </row>
    <row r="77" spans="1:31" s="305" customFormat="1">
      <c r="A77" s="323" t="s">
        <v>1291</v>
      </c>
      <c r="B77" s="217" t="s">
        <v>1292</v>
      </c>
      <c r="C77" s="45" t="s">
        <v>1293</v>
      </c>
      <c r="D77" s="88" t="s">
        <v>1284</v>
      </c>
      <c r="E77" s="30" t="s">
        <v>1285</v>
      </c>
      <c r="F77" s="71">
        <v>1800</v>
      </c>
      <c r="G77" s="47" t="s">
        <v>268</v>
      </c>
      <c r="H77" s="54">
        <v>1060</v>
      </c>
      <c r="I77" s="74">
        <v>991</v>
      </c>
      <c r="J77" s="49">
        <v>67.8</v>
      </c>
      <c r="K77" s="72">
        <v>2.34</v>
      </c>
      <c r="L77" s="307">
        <v>2.2799999999999998</v>
      </c>
      <c r="M77" s="39">
        <v>2.2799999999999998</v>
      </c>
      <c r="N77" s="39">
        <v>0</v>
      </c>
      <c r="O77" s="36">
        <v>5.4399999999999997E-2</v>
      </c>
      <c r="P77" s="72">
        <v>0.55700000000000005</v>
      </c>
      <c r="Q77" s="307">
        <v>0.55600000000000005</v>
      </c>
      <c r="R77" s="36">
        <v>0.55600000000000005</v>
      </c>
      <c r="S77" s="36">
        <v>0</v>
      </c>
      <c r="T77" s="36">
        <v>1.6000000000000001E-3</v>
      </c>
      <c r="U77" s="72">
        <v>1.78</v>
      </c>
      <c r="V77" s="307">
        <v>1.72</v>
      </c>
      <c r="W77" s="36">
        <v>1.72</v>
      </c>
      <c r="X77" s="36">
        <v>0</v>
      </c>
      <c r="Y77" s="36">
        <v>5.28E-2</v>
      </c>
      <c r="Z77" s="50">
        <v>0.64900000000000002</v>
      </c>
      <c r="AA77" s="78">
        <v>0.63600000000000001</v>
      </c>
      <c r="AB77" s="52">
        <v>1.32E-2</v>
      </c>
      <c r="AC77" s="308">
        <v>0</v>
      </c>
      <c r="AD77" s="109" t="s">
        <v>1294</v>
      </c>
      <c r="AE77" s="30" t="s">
        <v>1287</v>
      </c>
    </row>
    <row r="78" spans="1:31" s="305" customFormat="1">
      <c r="A78" s="323" t="s">
        <v>688</v>
      </c>
      <c r="B78" s="217" t="s">
        <v>1295</v>
      </c>
      <c r="C78" s="45" t="s">
        <v>1296</v>
      </c>
      <c r="D78" s="44" t="s">
        <v>1297</v>
      </c>
      <c r="E78" s="30" t="s">
        <v>1298</v>
      </c>
      <c r="F78" s="71">
        <v>2500</v>
      </c>
      <c r="G78" s="47" t="s">
        <v>268</v>
      </c>
      <c r="H78" s="33">
        <v>1990</v>
      </c>
      <c r="I78" s="85">
        <v>1920</v>
      </c>
      <c r="J78" s="49">
        <v>68.8</v>
      </c>
      <c r="K78" s="86">
        <v>4.9000000000000004</v>
      </c>
      <c r="L78" s="307">
        <v>4.78</v>
      </c>
      <c r="M78" s="39">
        <v>4.78</v>
      </c>
      <c r="N78" s="39">
        <v>0</v>
      </c>
      <c r="O78" s="36">
        <v>0.121</v>
      </c>
      <c r="P78" s="86">
        <v>0.26300000000000001</v>
      </c>
      <c r="Q78" s="307">
        <v>0.251</v>
      </c>
      <c r="R78" s="36">
        <v>0.251</v>
      </c>
      <c r="S78" s="36">
        <v>0</v>
      </c>
      <c r="T78" s="36">
        <v>1.21E-2</v>
      </c>
      <c r="U78" s="86">
        <v>4.6399999999999997</v>
      </c>
      <c r="V78" s="307">
        <v>4.53</v>
      </c>
      <c r="W78" s="36">
        <v>4.53</v>
      </c>
      <c r="X78" s="36">
        <v>0</v>
      </c>
      <c r="Y78" s="36">
        <v>0.109</v>
      </c>
      <c r="Z78" s="72">
        <v>1.2</v>
      </c>
      <c r="AA78" s="77">
        <v>1.18</v>
      </c>
      <c r="AB78" s="52">
        <v>1.9099999999999999E-2</v>
      </c>
      <c r="AC78" s="308">
        <v>0</v>
      </c>
      <c r="AD78" s="109" t="s">
        <v>1299</v>
      </c>
      <c r="AE78" s="30" t="s">
        <v>1300</v>
      </c>
    </row>
    <row r="79" spans="1:31" s="305" customFormat="1">
      <c r="A79" s="323" t="s">
        <v>1301</v>
      </c>
      <c r="B79" s="217" t="s">
        <v>1302</v>
      </c>
      <c r="C79" s="45" t="s">
        <v>1303</v>
      </c>
      <c r="D79" s="44" t="s">
        <v>1297</v>
      </c>
      <c r="E79" s="30" t="s">
        <v>1298</v>
      </c>
      <c r="F79" s="71">
        <v>2500</v>
      </c>
      <c r="G79" s="47" t="s">
        <v>268</v>
      </c>
      <c r="H79" s="33">
        <v>1790</v>
      </c>
      <c r="I79" s="85">
        <v>1720</v>
      </c>
      <c r="J79" s="49">
        <v>68.8</v>
      </c>
      <c r="K79" s="86">
        <v>4.22</v>
      </c>
      <c r="L79" s="307">
        <v>4.0999999999999996</v>
      </c>
      <c r="M79" s="39">
        <v>4.0999999999999996</v>
      </c>
      <c r="N79" s="39">
        <v>0</v>
      </c>
      <c r="O79" s="36">
        <v>0.121</v>
      </c>
      <c r="P79" s="86">
        <v>0.14299999999999999</v>
      </c>
      <c r="Q79" s="307">
        <v>0.13100000000000001</v>
      </c>
      <c r="R79" s="36">
        <v>0.13100000000000001</v>
      </c>
      <c r="S79" s="36">
        <v>0</v>
      </c>
      <c r="T79" s="36">
        <v>1.21E-2</v>
      </c>
      <c r="U79" s="86">
        <v>4.08</v>
      </c>
      <c r="V79" s="307">
        <v>3.97</v>
      </c>
      <c r="W79" s="36">
        <v>3.97</v>
      </c>
      <c r="X79" s="36">
        <v>0</v>
      </c>
      <c r="Y79" s="36">
        <v>0.109</v>
      </c>
      <c r="Z79" s="50">
        <v>1.1399999999999999</v>
      </c>
      <c r="AA79" s="78">
        <v>1.1200000000000001</v>
      </c>
      <c r="AB79" s="52">
        <v>1.9099999999999999E-2</v>
      </c>
      <c r="AC79" s="308">
        <v>0</v>
      </c>
      <c r="AD79" s="109" t="s">
        <v>1304</v>
      </c>
      <c r="AE79" s="30" t="s">
        <v>1300</v>
      </c>
    </row>
    <row r="80" spans="1:31" s="305" customFormat="1">
      <c r="A80" s="323" t="s">
        <v>808</v>
      </c>
      <c r="B80" s="217" t="s">
        <v>1305</v>
      </c>
      <c r="C80" s="45" t="s">
        <v>1306</v>
      </c>
      <c r="D80" s="44" t="s">
        <v>1307</v>
      </c>
      <c r="E80" s="30" t="s">
        <v>1308</v>
      </c>
      <c r="F80" s="71">
        <v>1200</v>
      </c>
      <c r="G80" s="47" t="s">
        <v>268</v>
      </c>
      <c r="H80" s="54">
        <v>873</v>
      </c>
      <c r="I80" s="74">
        <v>801</v>
      </c>
      <c r="J80" s="49">
        <v>71.5</v>
      </c>
      <c r="K80" s="72">
        <v>2.57</v>
      </c>
      <c r="L80" s="307">
        <v>2.4900000000000002</v>
      </c>
      <c r="M80" s="39">
        <v>2.4900000000000002</v>
      </c>
      <c r="N80" s="39">
        <v>0</v>
      </c>
      <c r="O80" s="36">
        <v>8.2299999999999998E-2</v>
      </c>
      <c r="P80" s="72">
        <v>9.8000000000000004E-2</v>
      </c>
      <c r="Q80" s="307">
        <v>9.3799999999999994E-2</v>
      </c>
      <c r="R80" s="36">
        <v>9.3799999999999994E-2</v>
      </c>
      <c r="S80" s="36">
        <v>0</v>
      </c>
      <c r="T80" s="36">
        <v>4.1799999999999997E-3</v>
      </c>
      <c r="U80" s="72">
        <v>2.4700000000000002</v>
      </c>
      <c r="V80" s="307">
        <v>2.39</v>
      </c>
      <c r="W80" s="36">
        <v>2.39</v>
      </c>
      <c r="X80" s="36">
        <v>0</v>
      </c>
      <c r="Y80" s="36">
        <v>7.8100000000000003E-2</v>
      </c>
      <c r="Z80" s="50">
        <v>0.55200000000000005</v>
      </c>
      <c r="AA80" s="78">
        <v>0.53300000000000003</v>
      </c>
      <c r="AB80" s="52">
        <v>1.8599999999999998E-2</v>
      </c>
      <c r="AC80" s="308">
        <v>4.4900000000000002E-2</v>
      </c>
      <c r="AD80" s="109" t="s">
        <v>1309</v>
      </c>
      <c r="AE80" s="30" t="s">
        <v>1310</v>
      </c>
    </row>
    <row r="81" spans="1:31" s="305" customFormat="1" outlineLevel="1">
      <c r="A81" s="324" t="s">
        <v>3892</v>
      </c>
      <c r="B81" s="1354" t="s">
        <v>3893</v>
      </c>
      <c r="C81" s="60" t="s">
        <v>3894</v>
      </c>
      <c r="D81" s="61" t="s">
        <v>1307</v>
      </c>
      <c r="E81" s="60" t="s">
        <v>1308</v>
      </c>
      <c r="F81" s="62">
        <v>1180</v>
      </c>
      <c r="G81" s="63" t="s">
        <v>268</v>
      </c>
      <c r="H81" s="343">
        <v>596</v>
      </c>
      <c r="I81" s="344">
        <v>524</v>
      </c>
      <c r="J81" s="345">
        <v>71.400000000000006</v>
      </c>
      <c r="K81" s="346">
        <v>2.16</v>
      </c>
      <c r="L81" s="347">
        <v>2.08</v>
      </c>
      <c r="M81" s="347">
        <v>2.08</v>
      </c>
      <c r="N81" s="347">
        <v>0</v>
      </c>
      <c r="O81" s="347">
        <v>8.2199999999999995E-2</v>
      </c>
      <c r="P81" s="346">
        <v>0.69</v>
      </c>
      <c r="Q81" s="347">
        <v>0.68600000000000005</v>
      </c>
      <c r="R81" s="347">
        <v>0.68600000000000005</v>
      </c>
      <c r="S81" s="347">
        <v>0</v>
      </c>
      <c r="T81" s="347">
        <v>4.1000000000000003E-3</v>
      </c>
      <c r="U81" s="346">
        <v>1.47</v>
      </c>
      <c r="V81" s="347">
        <v>1.4</v>
      </c>
      <c r="W81" s="347">
        <v>1.4</v>
      </c>
      <c r="X81" s="347">
        <v>0</v>
      </c>
      <c r="Y81" s="347">
        <v>7.8100000000000003E-2</v>
      </c>
      <c r="Z81" s="348">
        <v>0.33500000000000002</v>
      </c>
      <c r="AA81" s="349">
        <v>0.317</v>
      </c>
      <c r="AB81" s="350">
        <v>1.8599999999999998E-2</v>
      </c>
      <c r="AC81" s="347">
        <v>6.1699999999999998E-2</v>
      </c>
      <c r="AD81" s="351" t="s">
        <v>3895</v>
      </c>
      <c r="AE81" s="60" t="s">
        <v>3896</v>
      </c>
    </row>
    <row r="82" spans="1:31" s="305" customFormat="1">
      <c r="A82" s="323" t="s">
        <v>893</v>
      </c>
      <c r="B82" s="217" t="s">
        <v>1311</v>
      </c>
      <c r="C82" s="45" t="s">
        <v>1312</v>
      </c>
      <c r="D82" s="44" t="s">
        <v>1313</v>
      </c>
      <c r="E82" s="30" t="s">
        <v>1314</v>
      </c>
      <c r="F82" s="71">
        <v>850</v>
      </c>
      <c r="G82" s="47" t="s">
        <v>268</v>
      </c>
      <c r="H82" s="54">
        <v>523</v>
      </c>
      <c r="I82" s="74">
        <v>452</v>
      </c>
      <c r="J82" s="49">
        <v>71.7</v>
      </c>
      <c r="K82" s="72">
        <v>1.42</v>
      </c>
      <c r="L82" s="307">
        <v>1.34</v>
      </c>
      <c r="M82" s="39">
        <v>1.34</v>
      </c>
      <c r="N82" s="39">
        <v>0</v>
      </c>
      <c r="O82" s="36">
        <v>8.2000000000000003E-2</v>
      </c>
      <c r="P82" s="72">
        <v>8.8999999999999996E-2</v>
      </c>
      <c r="Q82" s="307">
        <v>8.48E-2</v>
      </c>
      <c r="R82" s="333">
        <v>8.48E-2</v>
      </c>
      <c r="S82" s="36">
        <v>0</v>
      </c>
      <c r="T82" s="36">
        <v>4.1700000000000001E-3</v>
      </c>
      <c r="U82" s="72">
        <v>1.33</v>
      </c>
      <c r="V82" s="307">
        <v>1.25</v>
      </c>
      <c r="W82" s="36">
        <v>1.25</v>
      </c>
      <c r="X82" s="36">
        <v>0</v>
      </c>
      <c r="Y82" s="36">
        <v>7.7799999999999994E-2</v>
      </c>
      <c r="Z82" s="50">
        <v>0.30099999999999999</v>
      </c>
      <c r="AA82" s="78">
        <v>0.28299999999999997</v>
      </c>
      <c r="AB82" s="52">
        <v>1.8700000000000001E-2</v>
      </c>
      <c r="AC82" s="308">
        <v>1.7999999999999999E-2</v>
      </c>
      <c r="AD82" s="109" t="s">
        <v>1315</v>
      </c>
      <c r="AE82" s="30" t="s">
        <v>1316</v>
      </c>
    </row>
    <row r="83" spans="1:31" s="305" customFormat="1">
      <c r="A83" s="323" t="s">
        <v>1317</v>
      </c>
      <c r="B83" s="217" t="s">
        <v>1318</v>
      </c>
      <c r="C83" s="45" t="s">
        <v>1319</v>
      </c>
      <c r="D83" s="44" t="s">
        <v>1320</v>
      </c>
      <c r="E83" s="30" t="s">
        <v>1321</v>
      </c>
      <c r="F83" s="71">
        <v>1000</v>
      </c>
      <c r="G83" s="47" t="s">
        <v>268</v>
      </c>
      <c r="H83" s="54">
        <v>531</v>
      </c>
      <c r="I83" s="74">
        <v>459</v>
      </c>
      <c r="J83" s="49">
        <v>71.3</v>
      </c>
      <c r="K83" s="72">
        <v>1.48</v>
      </c>
      <c r="L83" s="307">
        <v>1.4</v>
      </c>
      <c r="M83" s="39">
        <v>1.4</v>
      </c>
      <c r="N83" s="39">
        <v>0</v>
      </c>
      <c r="O83" s="36">
        <v>8.2500000000000004E-2</v>
      </c>
      <c r="P83" s="72">
        <v>3.2300000000000002E-2</v>
      </c>
      <c r="Q83" s="307">
        <v>2.81E-2</v>
      </c>
      <c r="R83" s="36">
        <v>2.81E-2</v>
      </c>
      <c r="S83" s="36">
        <v>0</v>
      </c>
      <c r="T83" s="36">
        <v>4.1900000000000001E-3</v>
      </c>
      <c r="U83" s="72">
        <v>1.45</v>
      </c>
      <c r="V83" s="307">
        <v>1.37</v>
      </c>
      <c r="W83" s="36">
        <v>1.37</v>
      </c>
      <c r="X83" s="36">
        <v>0</v>
      </c>
      <c r="Y83" s="36">
        <v>7.8299999999999995E-2</v>
      </c>
      <c r="Z83" s="50">
        <v>0.317</v>
      </c>
      <c r="AA83" s="78">
        <v>0.29799999999999999</v>
      </c>
      <c r="AB83" s="52">
        <v>1.8499999999999999E-2</v>
      </c>
      <c r="AC83" s="308">
        <v>0</v>
      </c>
      <c r="AD83" s="109" t="s">
        <v>1322</v>
      </c>
      <c r="AE83" s="30" t="s">
        <v>1323</v>
      </c>
    </row>
    <row r="84" spans="1:31" s="325" customFormat="1">
      <c r="A84" s="331" t="s">
        <v>1324</v>
      </c>
      <c r="B84" s="217" t="s">
        <v>1325</v>
      </c>
      <c r="C84" s="30" t="s">
        <v>1326</v>
      </c>
      <c r="D84" s="56" t="s">
        <v>1176</v>
      </c>
      <c r="E84" s="30" t="s">
        <v>1177</v>
      </c>
      <c r="F84" s="46"/>
      <c r="G84" s="32"/>
      <c r="H84" s="334"/>
      <c r="I84" s="335"/>
      <c r="J84" s="336"/>
      <c r="K84" s="337"/>
      <c r="L84" s="308"/>
      <c r="M84" s="338"/>
      <c r="N84" s="338"/>
      <c r="O84" s="308"/>
      <c r="P84" s="337"/>
      <c r="Q84" s="308"/>
      <c r="R84" s="308"/>
      <c r="S84" s="308"/>
      <c r="T84" s="308"/>
      <c r="U84" s="337"/>
      <c r="V84" s="308"/>
      <c r="W84" s="308"/>
      <c r="X84" s="308"/>
      <c r="Y84" s="308"/>
      <c r="Z84" s="339"/>
      <c r="AA84" s="340"/>
      <c r="AB84" s="341"/>
      <c r="AC84" s="308"/>
      <c r="AD84" s="342" t="s">
        <v>1327</v>
      </c>
      <c r="AE84" s="30" t="s">
        <v>1179</v>
      </c>
    </row>
    <row r="85" spans="1:31" s="305" customFormat="1">
      <c r="A85" s="324" t="s">
        <v>1328</v>
      </c>
      <c r="B85" s="692" t="s">
        <v>1329</v>
      </c>
      <c r="C85" s="60" t="s">
        <v>1330</v>
      </c>
      <c r="D85" s="61" t="s">
        <v>1176</v>
      </c>
      <c r="E85" s="60" t="s">
        <v>1177</v>
      </c>
      <c r="F85" s="62">
        <v>2240</v>
      </c>
      <c r="G85" s="63" t="s">
        <v>268</v>
      </c>
      <c r="H85" s="343">
        <v>1335.9</v>
      </c>
      <c r="I85" s="344">
        <v>1300</v>
      </c>
      <c r="J85" s="345">
        <v>35.9</v>
      </c>
      <c r="K85" s="346">
        <v>2.71312</v>
      </c>
      <c r="L85" s="347">
        <v>2.6589999999999998</v>
      </c>
      <c r="M85" s="347">
        <v>2.6589999999999998</v>
      </c>
      <c r="N85" s="347">
        <v>0</v>
      </c>
      <c r="O85" s="347">
        <v>5.4120000000000001E-2</v>
      </c>
      <c r="P85" s="346">
        <v>0.51092000000000004</v>
      </c>
      <c r="Q85" s="347">
        <v>0.50900000000000001</v>
      </c>
      <c r="R85" s="347">
        <v>0.50900000000000001</v>
      </c>
      <c r="S85" s="347">
        <v>0</v>
      </c>
      <c r="T85" s="347">
        <v>1.92E-3</v>
      </c>
      <c r="U85" s="346">
        <v>2.2021999999999999</v>
      </c>
      <c r="V85" s="347">
        <v>2.15</v>
      </c>
      <c r="W85" s="347">
        <v>2.15</v>
      </c>
      <c r="X85" s="347">
        <v>0</v>
      </c>
      <c r="Y85" s="347">
        <v>5.2200000000000003E-2</v>
      </c>
      <c r="Z85" s="348">
        <v>0.88580000000000003</v>
      </c>
      <c r="AA85" s="349">
        <v>0.873</v>
      </c>
      <c r="AB85" s="350">
        <v>1.2800000000000001E-2</v>
      </c>
      <c r="AC85" s="347">
        <v>0</v>
      </c>
      <c r="AD85" s="351" t="s">
        <v>1331</v>
      </c>
      <c r="AE85" s="60" t="s">
        <v>1332</v>
      </c>
    </row>
    <row r="86" spans="1:31" s="305" customFormat="1">
      <c r="A86" s="323" t="s">
        <v>678</v>
      </c>
      <c r="B86" s="217" t="s">
        <v>1333</v>
      </c>
      <c r="C86" s="45" t="s">
        <v>1334</v>
      </c>
      <c r="D86" s="88" t="s">
        <v>1216</v>
      </c>
      <c r="E86" s="30" t="s">
        <v>1217</v>
      </c>
      <c r="F86" s="71">
        <v>2500</v>
      </c>
      <c r="G86" s="47" t="s">
        <v>268</v>
      </c>
      <c r="H86" s="48">
        <v>112</v>
      </c>
      <c r="I86" s="75">
        <v>69.3</v>
      </c>
      <c r="J86" s="49">
        <v>42.5</v>
      </c>
      <c r="K86" s="72">
        <v>0.32100000000000001</v>
      </c>
      <c r="L86" s="307">
        <v>0.26600000000000001</v>
      </c>
      <c r="M86" s="39">
        <v>0.26600000000000001</v>
      </c>
      <c r="N86" s="39">
        <v>0</v>
      </c>
      <c r="O86" s="36">
        <v>5.4800000000000001E-2</v>
      </c>
      <c r="P86" s="72">
        <v>4.5999999999999999E-2</v>
      </c>
      <c r="Q86" s="307">
        <v>4.3799999999999999E-2</v>
      </c>
      <c r="R86" s="36">
        <v>4.3799999999999999E-2</v>
      </c>
      <c r="S86" s="36">
        <v>0</v>
      </c>
      <c r="T86" s="36">
        <v>2.2100000000000002E-3</v>
      </c>
      <c r="U86" s="72">
        <v>0.27500000000000002</v>
      </c>
      <c r="V86" s="307">
        <v>0.223</v>
      </c>
      <c r="W86" s="36">
        <v>0.223</v>
      </c>
      <c r="X86" s="36">
        <v>0</v>
      </c>
      <c r="Y86" s="36">
        <v>5.2600000000000001E-2</v>
      </c>
      <c r="Z86" s="51">
        <v>4.0599999999999997E-2</v>
      </c>
      <c r="AA86" s="1564">
        <v>2.8000000000000001E-2</v>
      </c>
      <c r="AB86" s="53">
        <v>1.2699999999999999E-2</v>
      </c>
      <c r="AC86" s="308">
        <v>0</v>
      </c>
      <c r="AD86" s="109" t="s">
        <v>1335</v>
      </c>
      <c r="AE86" s="30" t="s">
        <v>1219</v>
      </c>
    </row>
    <row r="87" spans="1:31" s="305" customFormat="1">
      <c r="A87" s="323" t="s">
        <v>1336</v>
      </c>
      <c r="B87" s="217" t="s">
        <v>1337</v>
      </c>
      <c r="C87" s="45" t="s">
        <v>1338</v>
      </c>
      <c r="D87" s="88" t="s">
        <v>1216</v>
      </c>
      <c r="E87" s="30" t="s">
        <v>1217</v>
      </c>
      <c r="F87" s="46">
        <v>2500</v>
      </c>
      <c r="G87" s="47" t="s">
        <v>268</v>
      </c>
      <c r="H87" s="48">
        <v>141</v>
      </c>
      <c r="I87" s="75">
        <v>98.3</v>
      </c>
      <c r="J87" s="49">
        <v>42.5</v>
      </c>
      <c r="K87" s="72">
        <v>0.36499999999999999</v>
      </c>
      <c r="L87" s="307">
        <v>0.31</v>
      </c>
      <c r="M87" s="39">
        <v>0.31</v>
      </c>
      <c r="N87" s="39">
        <v>0</v>
      </c>
      <c r="O87" s="36">
        <v>5.4800000000000001E-2</v>
      </c>
      <c r="P87" s="72">
        <v>2.6100000000000002E-2</v>
      </c>
      <c r="Q87" s="307">
        <v>2.3900000000000001E-2</v>
      </c>
      <c r="R87" s="36">
        <v>2.3900000000000001E-2</v>
      </c>
      <c r="S87" s="36">
        <v>0</v>
      </c>
      <c r="T87" s="36">
        <v>2.2100000000000002E-3</v>
      </c>
      <c r="U87" s="72">
        <v>0.33800000000000002</v>
      </c>
      <c r="V87" s="307">
        <v>0.28599999999999998</v>
      </c>
      <c r="W87" s="36">
        <v>0.28599999999999998</v>
      </c>
      <c r="X87" s="36">
        <v>0</v>
      </c>
      <c r="Y87" s="36">
        <v>5.2600000000000001E-2</v>
      </c>
      <c r="Z87" s="51">
        <v>7.3599999999999999E-2</v>
      </c>
      <c r="AA87" s="83">
        <v>6.0999999999999999E-2</v>
      </c>
      <c r="AB87" s="53">
        <v>1.2699999999999999E-2</v>
      </c>
      <c r="AC87" s="308">
        <v>0</v>
      </c>
      <c r="AD87" s="109" t="s">
        <v>1339</v>
      </c>
      <c r="AE87" s="30" t="s">
        <v>1219</v>
      </c>
    </row>
    <row r="88" spans="1:31" s="305" customFormat="1">
      <c r="A88" s="323" t="s">
        <v>1340</v>
      </c>
      <c r="B88" s="217" t="s">
        <v>1341</v>
      </c>
      <c r="C88" s="45" t="s">
        <v>1342</v>
      </c>
      <c r="D88" s="88" t="s">
        <v>1216</v>
      </c>
      <c r="E88" s="30" t="s">
        <v>1217</v>
      </c>
      <c r="F88" s="71">
        <v>2600</v>
      </c>
      <c r="G88" s="47" t="s">
        <v>268</v>
      </c>
      <c r="H88" s="33">
        <v>4100</v>
      </c>
      <c r="I88" s="85">
        <v>4060</v>
      </c>
      <c r="J88" s="49">
        <v>42.5</v>
      </c>
      <c r="K88" s="86">
        <v>3.93</v>
      </c>
      <c r="L88" s="307">
        <v>3.88</v>
      </c>
      <c r="M88" s="39">
        <v>3.88</v>
      </c>
      <c r="N88" s="39">
        <v>0</v>
      </c>
      <c r="O88" s="36">
        <v>5.4800000000000001E-2</v>
      </c>
      <c r="P88" s="86">
        <v>0.21199999999999999</v>
      </c>
      <c r="Q88" s="307">
        <v>0.21</v>
      </c>
      <c r="R88" s="36">
        <v>0.21</v>
      </c>
      <c r="S88" s="36">
        <v>0</v>
      </c>
      <c r="T88" s="36">
        <v>2.2100000000000002E-3</v>
      </c>
      <c r="U88" s="86">
        <v>3.72</v>
      </c>
      <c r="V88" s="307">
        <v>3.67</v>
      </c>
      <c r="W88" s="36">
        <v>3.67</v>
      </c>
      <c r="X88" s="36">
        <v>0</v>
      </c>
      <c r="Y88" s="36">
        <v>5.2600000000000001E-2</v>
      </c>
      <c r="Z88" s="50">
        <v>0.79300000000000004</v>
      </c>
      <c r="AA88" s="78">
        <v>0.78</v>
      </c>
      <c r="AB88" s="53">
        <v>1.2699999999999999E-2</v>
      </c>
      <c r="AC88" s="308">
        <v>0</v>
      </c>
      <c r="AD88" s="109" t="s">
        <v>1343</v>
      </c>
      <c r="AE88" s="30" t="s">
        <v>1219</v>
      </c>
    </row>
    <row r="89" spans="1:31" s="305" customFormat="1" ht="14.25">
      <c r="A89" s="323" t="s">
        <v>816</v>
      </c>
      <c r="B89" s="217" t="s">
        <v>1344</v>
      </c>
      <c r="C89" s="45" t="s">
        <v>3702</v>
      </c>
      <c r="D89" s="44" t="s">
        <v>1274</v>
      </c>
      <c r="E89" s="30" t="s">
        <v>1275</v>
      </c>
      <c r="F89" s="46" t="s">
        <v>3703</v>
      </c>
      <c r="G89" s="47" t="s">
        <v>268</v>
      </c>
      <c r="H89" s="48">
        <v>64.8</v>
      </c>
      <c r="I89" s="75">
        <v>24.6</v>
      </c>
      <c r="J89" s="49">
        <v>40.200000000000003</v>
      </c>
      <c r="K89" s="50">
        <v>9.2399999999999996E-2</v>
      </c>
      <c r="L89" s="307">
        <v>3.7600000000000001E-2</v>
      </c>
      <c r="M89" s="39">
        <v>3.7600000000000001E-2</v>
      </c>
      <c r="N89" s="39">
        <v>0</v>
      </c>
      <c r="O89" s="36">
        <v>5.4800000000000001E-2</v>
      </c>
      <c r="P89" s="50">
        <v>7.7600000000000004E-3</v>
      </c>
      <c r="Q89" s="307">
        <v>5.4999999999999997E-3</v>
      </c>
      <c r="R89" s="36">
        <v>5.4999999999999997E-3</v>
      </c>
      <c r="S89" s="36">
        <v>0</v>
      </c>
      <c r="T89" s="36">
        <v>2.2599999999999999E-3</v>
      </c>
      <c r="U89" s="50">
        <v>8.4699999999999998E-2</v>
      </c>
      <c r="V89" s="307">
        <v>3.2099999999999997E-2</v>
      </c>
      <c r="W89" s="36">
        <v>3.2099999999999997E-2</v>
      </c>
      <c r="X89" s="36">
        <v>0</v>
      </c>
      <c r="Y89" s="36">
        <v>5.2600000000000001E-2</v>
      </c>
      <c r="Z89" s="51">
        <v>1.7600000000000001E-2</v>
      </c>
      <c r="AA89" s="80">
        <v>5.0099999999999997E-3</v>
      </c>
      <c r="AB89" s="53">
        <v>1.26E-2</v>
      </c>
      <c r="AC89" s="308">
        <v>0</v>
      </c>
      <c r="AD89" s="109" t="s">
        <v>3704</v>
      </c>
      <c r="AE89" s="30" t="s">
        <v>1276</v>
      </c>
    </row>
    <row r="90" spans="1:31" s="325" customFormat="1" ht="14.25">
      <c r="A90" s="352" t="s">
        <v>1345</v>
      </c>
      <c r="B90" s="217" t="s">
        <v>1346</v>
      </c>
      <c r="C90" s="30" t="s">
        <v>3705</v>
      </c>
      <c r="D90" s="44" t="s">
        <v>1274</v>
      </c>
      <c r="E90" s="30" t="s">
        <v>1275</v>
      </c>
      <c r="F90" s="46">
        <v>1600</v>
      </c>
      <c r="G90" s="32" t="s">
        <v>268</v>
      </c>
      <c r="H90" s="48">
        <v>41</v>
      </c>
      <c r="I90" s="49">
        <v>0.82799999999999996</v>
      </c>
      <c r="J90" s="49">
        <v>40.200000000000003</v>
      </c>
      <c r="K90" s="50">
        <v>5.5399999999999998E-2</v>
      </c>
      <c r="L90" s="36">
        <v>5.22E-4</v>
      </c>
      <c r="M90" s="39">
        <v>5.22E-4</v>
      </c>
      <c r="N90" s="39">
        <v>0</v>
      </c>
      <c r="O90" s="36">
        <v>5.4800000000000001E-2</v>
      </c>
      <c r="P90" s="50">
        <v>2.33E-3</v>
      </c>
      <c r="Q90" s="36">
        <v>6.6500000000000004E-5</v>
      </c>
      <c r="R90" s="36">
        <v>6.6500000000000004E-5</v>
      </c>
      <c r="S90" s="36">
        <v>0</v>
      </c>
      <c r="T90" s="36">
        <v>2.2599999999999999E-3</v>
      </c>
      <c r="U90" s="50">
        <v>5.2999999999999999E-2</v>
      </c>
      <c r="V90" s="36">
        <v>4.5600000000000003E-4</v>
      </c>
      <c r="W90" s="36">
        <v>4.5600000000000003E-4</v>
      </c>
      <c r="X90" s="36">
        <v>0</v>
      </c>
      <c r="Y90" s="36">
        <v>5.2600000000000001E-2</v>
      </c>
      <c r="Z90" s="51">
        <v>1.3299999999999999E-2</v>
      </c>
      <c r="AA90" s="53">
        <v>7.1000000000000002E-4</v>
      </c>
      <c r="AB90" s="53">
        <v>1.26E-2</v>
      </c>
      <c r="AC90" s="308">
        <v>0</v>
      </c>
      <c r="AD90" s="332" t="s">
        <v>3706</v>
      </c>
      <c r="AE90" s="30" t="s">
        <v>1276</v>
      </c>
    </row>
    <row r="91" spans="1:31" s="305" customFormat="1" ht="14.25">
      <c r="A91" s="323" t="s">
        <v>602</v>
      </c>
      <c r="B91" s="217" t="s">
        <v>1347</v>
      </c>
      <c r="C91" s="45" t="s">
        <v>3707</v>
      </c>
      <c r="D91" s="44" t="s">
        <v>1274</v>
      </c>
      <c r="E91" s="30" t="s">
        <v>1275</v>
      </c>
      <c r="F91" s="46" t="s">
        <v>3708</v>
      </c>
      <c r="G91" s="47" t="s">
        <v>268</v>
      </c>
      <c r="H91" s="48">
        <v>59.4</v>
      </c>
      <c r="I91" s="75">
        <v>19.2</v>
      </c>
      <c r="J91" s="49">
        <v>40.200000000000003</v>
      </c>
      <c r="K91" s="50">
        <v>7.22E-2</v>
      </c>
      <c r="L91" s="307">
        <v>1.7399999999999999E-2</v>
      </c>
      <c r="M91" s="39">
        <v>1.7399999999999999E-2</v>
      </c>
      <c r="N91" s="39">
        <v>0</v>
      </c>
      <c r="O91" s="36">
        <v>5.4800000000000001E-2</v>
      </c>
      <c r="P91" s="50">
        <v>4.0499999999999998E-3</v>
      </c>
      <c r="Q91" s="307">
        <v>1.7899999999999999E-3</v>
      </c>
      <c r="R91" s="36">
        <v>1.7899999999999999E-3</v>
      </c>
      <c r="S91" s="36">
        <v>0</v>
      </c>
      <c r="T91" s="36">
        <v>2.2599999999999999E-3</v>
      </c>
      <c r="U91" s="50">
        <v>6.8199999999999997E-2</v>
      </c>
      <c r="V91" s="307">
        <v>1.5599999999999999E-2</v>
      </c>
      <c r="W91" s="36">
        <v>1.5599999999999999E-2</v>
      </c>
      <c r="X91" s="36">
        <v>0</v>
      </c>
      <c r="Y91" s="36">
        <v>5.2600000000000001E-2</v>
      </c>
      <c r="Z91" s="51">
        <v>1.5699999999999999E-2</v>
      </c>
      <c r="AA91" s="80">
        <v>3.0500000000000002E-3</v>
      </c>
      <c r="AB91" s="53">
        <v>1.26E-2</v>
      </c>
      <c r="AC91" s="308">
        <v>0</v>
      </c>
      <c r="AD91" s="109" t="s">
        <v>3709</v>
      </c>
      <c r="AE91" s="30" t="s">
        <v>1276</v>
      </c>
    </row>
    <row r="92" spans="1:31" s="305" customFormat="1" ht="14.25">
      <c r="A92" s="323" t="s">
        <v>758</v>
      </c>
      <c r="B92" s="217" t="s">
        <v>1348</v>
      </c>
      <c r="C92" s="45" t="s">
        <v>3710</v>
      </c>
      <c r="D92" s="88" t="s">
        <v>1274</v>
      </c>
      <c r="E92" s="30" t="s">
        <v>1275</v>
      </c>
      <c r="F92" s="46">
        <v>1500</v>
      </c>
      <c r="G92" s="47" t="s">
        <v>268</v>
      </c>
      <c r="H92" s="48">
        <v>59.4</v>
      </c>
      <c r="I92" s="75">
        <v>19.2</v>
      </c>
      <c r="J92" s="49">
        <v>40.200000000000003</v>
      </c>
      <c r="K92" s="50">
        <v>7.22E-2</v>
      </c>
      <c r="L92" s="307">
        <v>1.7399999999999999E-2</v>
      </c>
      <c r="M92" s="39">
        <v>1.7399999999999999E-2</v>
      </c>
      <c r="N92" s="39">
        <v>0</v>
      </c>
      <c r="O92" s="36">
        <v>5.4800000000000001E-2</v>
      </c>
      <c r="P92" s="50">
        <v>4.0499999999999998E-3</v>
      </c>
      <c r="Q92" s="307">
        <v>1.7899999999999999E-3</v>
      </c>
      <c r="R92" s="36">
        <v>1.7899999999999999E-3</v>
      </c>
      <c r="S92" s="36">
        <v>0</v>
      </c>
      <c r="T92" s="36">
        <v>2.2599999999999999E-3</v>
      </c>
      <c r="U92" s="50">
        <v>6.8199999999999997E-2</v>
      </c>
      <c r="V92" s="307">
        <v>1.5599999999999999E-2</v>
      </c>
      <c r="W92" s="36">
        <v>1.5599999999999999E-2</v>
      </c>
      <c r="X92" s="36">
        <v>0</v>
      </c>
      <c r="Y92" s="36">
        <v>5.2600000000000001E-2</v>
      </c>
      <c r="Z92" s="51">
        <v>1.5699999999999999E-2</v>
      </c>
      <c r="AA92" s="80">
        <v>3.0500000000000002E-3</v>
      </c>
      <c r="AB92" s="52">
        <v>1.26E-2</v>
      </c>
      <c r="AC92" s="308">
        <v>0</v>
      </c>
      <c r="AD92" s="109" t="s">
        <v>3711</v>
      </c>
      <c r="AE92" s="30" t="s">
        <v>1276</v>
      </c>
    </row>
    <row r="93" spans="1:31" s="305" customFormat="1">
      <c r="A93" s="323" t="s">
        <v>1349</v>
      </c>
      <c r="B93" s="217" t="s">
        <v>1350</v>
      </c>
      <c r="C93" s="45" t="s">
        <v>1351</v>
      </c>
      <c r="D93" s="88" t="s">
        <v>1216</v>
      </c>
      <c r="E93" s="30" t="s">
        <v>1217</v>
      </c>
      <c r="F93" s="71">
        <v>2000</v>
      </c>
      <c r="G93" s="47" t="s">
        <v>268</v>
      </c>
      <c r="H93" s="33">
        <v>4680</v>
      </c>
      <c r="I93" s="85">
        <v>4640</v>
      </c>
      <c r="J93" s="49">
        <v>42.5</v>
      </c>
      <c r="K93" s="86">
        <v>11.5</v>
      </c>
      <c r="L93" s="307">
        <v>11.4</v>
      </c>
      <c r="M93" s="39">
        <v>11.4</v>
      </c>
      <c r="N93" s="39">
        <v>0</v>
      </c>
      <c r="O93" s="36">
        <v>5.4800000000000001E-2</v>
      </c>
      <c r="P93" s="86">
        <v>0.36699999999999999</v>
      </c>
      <c r="Q93" s="307">
        <v>0.36499999999999999</v>
      </c>
      <c r="R93" s="36">
        <v>0.36499999999999999</v>
      </c>
      <c r="S93" s="36">
        <v>0</v>
      </c>
      <c r="T93" s="36">
        <v>2.2100000000000002E-3</v>
      </c>
      <c r="U93" s="86">
        <v>11.1</v>
      </c>
      <c r="V93" s="307">
        <v>11.1</v>
      </c>
      <c r="W93" s="36">
        <v>11.1</v>
      </c>
      <c r="X93" s="36">
        <v>0</v>
      </c>
      <c r="Y93" s="36">
        <v>5.2600000000000001E-2</v>
      </c>
      <c r="Z93" s="72">
        <v>2.38</v>
      </c>
      <c r="AA93" s="77">
        <v>2.37</v>
      </c>
      <c r="AB93" s="53">
        <v>1.2699999999999999E-2</v>
      </c>
      <c r="AC93" s="308">
        <v>0</v>
      </c>
      <c r="AD93" s="109" t="s">
        <v>1352</v>
      </c>
      <c r="AE93" s="30" t="s">
        <v>1219</v>
      </c>
    </row>
    <row r="94" spans="1:31" s="305" customFormat="1">
      <c r="A94" s="1339" t="s">
        <v>1353</v>
      </c>
      <c r="B94" s="217" t="s">
        <v>1354</v>
      </c>
      <c r="C94" s="45" t="s">
        <v>1355</v>
      </c>
      <c r="D94" s="353" t="s">
        <v>1216</v>
      </c>
      <c r="E94" s="354" t="s">
        <v>1217</v>
      </c>
      <c r="F94" s="71">
        <v>2000</v>
      </c>
      <c r="G94" s="47" t="s">
        <v>268</v>
      </c>
      <c r="H94" s="33">
        <v>80.099999999999994</v>
      </c>
      <c r="I94" s="85">
        <v>32</v>
      </c>
      <c r="J94" s="49">
        <v>48.2</v>
      </c>
      <c r="K94" s="86">
        <v>8.4599999999999995E-2</v>
      </c>
      <c r="L94" s="307">
        <v>7.9399999999999998E-2</v>
      </c>
      <c r="M94" s="39">
        <v>7.9399999999999998E-2</v>
      </c>
      <c r="N94" s="39">
        <v>0</v>
      </c>
      <c r="O94" s="36">
        <v>5.2300000000000003E-3</v>
      </c>
      <c r="P94" s="86">
        <v>5.1399999999999996E-3</v>
      </c>
      <c r="Q94" s="307">
        <v>4.8700000000000002E-3</v>
      </c>
      <c r="R94" s="36">
        <v>4.8700000000000002E-3</v>
      </c>
      <c r="S94" s="36">
        <v>0</v>
      </c>
      <c r="T94" s="36">
        <v>2.7E-4</v>
      </c>
      <c r="U94" s="86">
        <v>7.9500000000000001E-2</v>
      </c>
      <c r="V94" s="307">
        <v>7.4499999999999997E-2</v>
      </c>
      <c r="W94" s="36">
        <v>7.4499999999999997E-2</v>
      </c>
      <c r="X94" s="36">
        <v>0</v>
      </c>
      <c r="Y94" s="36">
        <v>4.96E-3</v>
      </c>
      <c r="Z94" s="72">
        <v>1.9400000000000001E-2</v>
      </c>
      <c r="AA94" s="77">
        <v>1.83E-2</v>
      </c>
      <c r="AB94" s="53">
        <v>1.15E-3</v>
      </c>
      <c r="AC94" s="308">
        <v>0</v>
      </c>
      <c r="AD94" s="332" t="s">
        <v>1356</v>
      </c>
      <c r="AE94" s="354" t="s">
        <v>1219</v>
      </c>
    </row>
    <row r="95" spans="1:31" s="305" customFormat="1">
      <c r="A95" s="323" t="s">
        <v>663</v>
      </c>
      <c r="B95" s="217" t="s">
        <v>1357</v>
      </c>
      <c r="C95" s="45" t="s">
        <v>1358</v>
      </c>
      <c r="D95" s="88" t="s">
        <v>1359</v>
      </c>
      <c r="E95" s="30" t="s">
        <v>1360</v>
      </c>
      <c r="F95" s="71">
        <v>1700</v>
      </c>
      <c r="G95" s="47" t="s">
        <v>268</v>
      </c>
      <c r="H95" s="54">
        <v>514</v>
      </c>
      <c r="I95" s="74">
        <v>479</v>
      </c>
      <c r="J95" s="49">
        <v>35.6</v>
      </c>
      <c r="K95" s="72">
        <v>1.1499999999999999</v>
      </c>
      <c r="L95" s="307">
        <v>1.1000000000000001</v>
      </c>
      <c r="M95" s="39">
        <v>1.1000000000000001</v>
      </c>
      <c r="N95" s="39">
        <v>0</v>
      </c>
      <c r="O95" s="36">
        <v>5.3900000000000003E-2</v>
      </c>
      <c r="P95" s="72">
        <v>3.5700000000000003E-2</v>
      </c>
      <c r="Q95" s="307">
        <v>3.3799999999999997E-2</v>
      </c>
      <c r="R95" s="36">
        <v>3.3799999999999997E-2</v>
      </c>
      <c r="S95" s="36">
        <v>0</v>
      </c>
      <c r="T95" s="36">
        <v>1.9300000000000001E-3</v>
      </c>
      <c r="U95" s="72">
        <v>1.1100000000000001</v>
      </c>
      <c r="V95" s="307">
        <v>1.06</v>
      </c>
      <c r="W95" s="36">
        <v>1.06</v>
      </c>
      <c r="X95" s="36">
        <v>0</v>
      </c>
      <c r="Y95" s="36">
        <v>5.1999999999999998E-2</v>
      </c>
      <c r="Z95" s="50">
        <v>0.38500000000000001</v>
      </c>
      <c r="AA95" s="78">
        <v>0.373</v>
      </c>
      <c r="AB95" s="53">
        <v>1.2699999999999999E-2</v>
      </c>
      <c r="AC95" s="308">
        <v>0</v>
      </c>
      <c r="AD95" s="109" t="s">
        <v>1361</v>
      </c>
      <c r="AE95" s="30" t="s">
        <v>1362</v>
      </c>
    </row>
    <row r="96" spans="1:31" s="305" customFormat="1" ht="14.25">
      <c r="A96" s="1961" t="s">
        <v>3712</v>
      </c>
      <c r="B96" s="1962"/>
      <c r="C96" s="1962"/>
      <c r="D96" s="1962"/>
      <c r="E96" s="1962"/>
      <c r="F96" s="1962"/>
      <c r="G96" s="1962"/>
      <c r="H96" s="1962"/>
      <c r="I96" s="1962"/>
      <c r="J96" s="1962"/>
      <c r="K96" s="1962"/>
      <c r="L96" s="1962"/>
      <c r="M96" s="1962"/>
      <c r="N96" s="1962"/>
      <c r="O96" s="1962"/>
      <c r="P96" s="1962"/>
      <c r="Q96" s="1962"/>
      <c r="R96" s="1962"/>
      <c r="S96" s="1962"/>
      <c r="T96" s="1962"/>
      <c r="U96" s="1962"/>
      <c r="V96" s="1962"/>
      <c r="W96" s="1962"/>
      <c r="X96" s="1962"/>
      <c r="Y96" s="1962"/>
      <c r="Z96" s="1962"/>
      <c r="AA96" s="1962"/>
      <c r="AB96" s="1962"/>
      <c r="AC96" s="1962"/>
      <c r="AD96" s="1963"/>
      <c r="AE96" s="30"/>
    </row>
    <row r="97" spans="1:31" s="305" customFormat="1" ht="14.25">
      <c r="A97" s="298" t="s">
        <v>1363</v>
      </c>
      <c r="B97" s="691"/>
      <c r="C97" s="41" t="s">
        <v>1364</v>
      </c>
      <c r="D97" s="40"/>
      <c r="E97" s="41"/>
      <c r="F97" s="42" t="s">
        <v>1173</v>
      </c>
      <c r="G97" s="43"/>
      <c r="H97" s="327"/>
      <c r="I97" s="299"/>
      <c r="J97" s="327"/>
      <c r="K97" s="328"/>
      <c r="L97" s="355"/>
      <c r="M97" s="312"/>
      <c r="N97" s="312"/>
      <c r="O97" s="356"/>
      <c r="P97" s="355"/>
      <c r="Q97" s="355"/>
      <c r="R97" s="312"/>
      <c r="S97" s="312"/>
      <c r="T97" s="355"/>
      <c r="U97" s="355"/>
      <c r="V97" s="355"/>
      <c r="W97" s="312"/>
      <c r="X97" s="312"/>
      <c r="Y97" s="355"/>
      <c r="Z97" s="299"/>
      <c r="AA97" s="299"/>
      <c r="AB97" s="299"/>
      <c r="AC97" s="299"/>
      <c r="AD97" s="304" t="s">
        <v>1365</v>
      </c>
      <c r="AE97" s="41"/>
    </row>
    <row r="98" spans="1:31" s="305" customFormat="1">
      <c r="A98" s="323" t="s">
        <v>633</v>
      </c>
      <c r="B98" s="217" t="s">
        <v>1366</v>
      </c>
      <c r="C98" s="45" t="s">
        <v>1367</v>
      </c>
      <c r="D98" s="88" t="s">
        <v>1368</v>
      </c>
      <c r="E98" s="30" t="s">
        <v>1369</v>
      </c>
      <c r="F98" s="71">
        <v>1400</v>
      </c>
      <c r="G98" s="47" t="s">
        <v>268</v>
      </c>
      <c r="H98" s="54">
        <v>633</v>
      </c>
      <c r="I98" s="74">
        <v>590</v>
      </c>
      <c r="J98" s="49">
        <v>42.5</v>
      </c>
      <c r="K98" s="72">
        <v>1.7</v>
      </c>
      <c r="L98" s="307">
        <v>1.65</v>
      </c>
      <c r="M98" s="39">
        <v>1.65</v>
      </c>
      <c r="N98" s="39">
        <v>0</v>
      </c>
      <c r="O98" s="36">
        <v>5.45E-2</v>
      </c>
      <c r="P98" s="72">
        <v>0.17499999999999999</v>
      </c>
      <c r="Q98" s="307">
        <v>0.17299999999999999</v>
      </c>
      <c r="R98" s="36">
        <v>0.17299999999999999</v>
      </c>
      <c r="S98" s="36">
        <v>0</v>
      </c>
      <c r="T98" s="36">
        <v>2.0799999999999998E-3</v>
      </c>
      <c r="U98" s="72">
        <v>1.53</v>
      </c>
      <c r="V98" s="307">
        <v>1.47</v>
      </c>
      <c r="W98" s="36">
        <v>1.47</v>
      </c>
      <c r="X98" s="36">
        <v>0</v>
      </c>
      <c r="Y98" s="36">
        <v>5.2400000000000002E-2</v>
      </c>
      <c r="Z98" s="50">
        <v>0.40600000000000003</v>
      </c>
      <c r="AA98" s="78">
        <v>0.39300000000000002</v>
      </c>
      <c r="AB98" s="53">
        <v>1.2699999999999999E-2</v>
      </c>
      <c r="AC98" s="308">
        <v>0</v>
      </c>
      <c r="AD98" s="109" t="s">
        <v>1370</v>
      </c>
      <c r="AE98" s="30" t="s">
        <v>1371</v>
      </c>
    </row>
    <row r="99" spans="1:31" s="305" customFormat="1">
      <c r="A99" s="1339" t="s">
        <v>642</v>
      </c>
      <c r="B99" s="217" t="s">
        <v>1372</v>
      </c>
      <c r="C99" s="45" t="s">
        <v>1373</v>
      </c>
      <c r="D99" s="88" t="s">
        <v>1368</v>
      </c>
      <c r="E99" s="30" t="s">
        <v>1369</v>
      </c>
      <c r="F99" s="71">
        <v>1100</v>
      </c>
      <c r="G99" s="47" t="s">
        <v>268</v>
      </c>
      <c r="H99" s="54">
        <v>638</v>
      </c>
      <c r="I99" s="74">
        <v>595</v>
      </c>
      <c r="J99" s="49">
        <v>42.5</v>
      </c>
      <c r="K99" s="72">
        <v>1.76</v>
      </c>
      <c r="L99" s="307">
        <v>1.71</v>
      </c>
      <c r="M99" s="39">
        <v>1.71</v>
      </c>
      <c r="N99" s="39">
        <v>0</v>
      </c>
      <c r="O99" s="36">
        <v>5.45E-2</v>
      </c>
      <c r="P99" s="72">
        <v>0.154</v>
      </c>
      <c r="Q99" s="307">
        <v>0.152</v>
      </c>
      <c r="R99" s="36">
        <v>0.152</v>
      </c>
      <c r="S99" s="36">
        <v>0</v>
      </c>
      <c r="T99" s="36">
        <v>2.0799999999999998E-3</v>
      </c>
      <c r="U99" s="72">
        <v>1.61</v>
      </c>
      <c r="V99" s="307">
        <v>1.56</v>
      </c>
      <c r="W99" s="36">
        <v>1.56</v>
      </c>
      <c r="X99" s="36">
        <v>0</v>
      </c>
      <c r="Y99" s="36">
        <v>5.2400000000000002E-2</v>
      </c>
      <c r="Z99" s="50">
        <v>0.42599999999999999</v>
      </c>
      <c r="AA99" s="78">
        <v>0.41399999999999998</v>
      </c>
      <c r="AB99" s="53">
        <v>1.2699999999999999E-2</v>
      </c>
      <c r="AC99" s="308">
        <v>0</v>
      </c>
      <c r="AD99" s="109" t="s">
        <v>1374</v>
      </c>
      <c r="AE99" s="30" t="s">
        <v>1371</v>
      </c>
    </row>
    <row r="100" spans="1:31" s="305" customFormat="1">
      <c r="A100" s="323" t="s">
        <v>1375</v>
      </c>
      <c r="B100" s="217" t="s">
        <v>1376</v>
      </c>
      <c r="C100" s="45" t="s">
        <v>1377</v>
      </c>
      <c r="D100" s="88" t="s">
        <v>1368</v>
      </c>
      <c r="E100" s="30" t="s">
        <v>1369</v>
      </c>
      <c r="F100" s="71">
        <v>1670</v>
      </c>
      <c r="G100" s="47" t="s">
        <v>268</v>
      </c>
      <c r="H100" s="33">
        <v>1390</v>
      </c>
      <c r="I100" s="85">
        <v>1350</v>
      </c>
      <c r="J100" s="49">
        <v>42.5</v>
      </c>
      <c r="K100" s="86">
        <v>4.3099999999999996</v>
      </c>
      <c r="L100" s="307">
        <v>4.26</v>
      </c>
      <c r="M100" s="39">
        <v>4.26</v>
      </c>
      <c r="N100" s="39">
        <v>0</v>
      </c>
      <c r="O100" s="36">
        <v>5.45E-2</v>
      </c>
      <c r="P100" s="86">
        <v>0.16300000000000001</v>
      </c>
      <c r="Q100" s="307">
        <v>0.161</v>
      </c>
      <c r="R100" s="36">
        <v>0.161</v>
      </c>
      <c r="S100" s="36">
        <v>0</v>
      </c>
      <c r="T100" s="36">
        <v>2.0799999999999998E-3</v>
      </c>
      <c r="U100" s="86">
        <v>4.1500000000000004</v>
      </c>
      <c r="V100" s="307">
        <v>4.0999999999999996</v>
      </c>
      <c r="W100" s="36">
        <v>4.0999999999999996</v>
      </c>
      <c r="X100" s="36">
        <v>0</v>
      </c>
      <c r="Y100" s="36">
        <v>5.2400000000000002E-2</v>
      </c>
      <c r="Z100" s="72">
        <v>0.77700000000000002</v>
      </c>
      <c r="AA100" s="77">
        <v>0.76400000000000001</v>
      </c>
      <c r="AB100" s="53">
        <v>1.2699999999999999E-2</v>
      </c>
      <c r="AC100" s="308">
        <v>0</v>
      </c>
      <c r="AD100" s="109" t="s">
        <v>1378</v>
      </c>
      <c r="AE100" s="30" t="s">
        <v>1371</v>
      </c>
    </row>
    <row r="101" spans="1:31" s="305" customFormat="1">
      <c r="A101" s="1339" t="s">
        <v>887</v>
      </c>
      <c r="B101" s="217" t="s">
        <v>1379</v>
      </c>
      <c r="C101" s="45" t="s">
        <v>1380</v>
      </c>
      <c r="D101" s="88" t="s">
        <v>1368</v>
      </c>
      <c r="E101" s="30" t="s">
        <v>1369</v>
      </c>
      <c r="F101" s="71">
        <v>925</v>
      </c>
      <c r="G101" s="47" t="s">
        <v>268</v>
      </c>
      <c r="H101" s="54">
        <v>251</v>
      </c>
      <c r="I101" s="74">
        <v>209</v>
      </c>
      <c r="J101" s="49">
        <v>42.5</v>
      </c>
      <c r="K101" s="72">
        <v>0.73899999999999999</v>
      </c>
      <c r="L101" s="307">
        <v>0.68500000000000005</v>
      </c>
      <c r="M101" s="39">
        <v>0.68500000000000005</v>
      </c>
      <c r="N101" s="39">
        <v>0</v>
      </c>
      <c r="O101" s="36">
        <v>5.45E-2</v>
      </c>
      <c r="P101" s="72">
        <v>6.4899999999999999E-2</v>
      </c>
      <c r="Q101" s="307">
        <v>6.2899999999999998E-2</v>
      </c>
      <c r="R101" s="36">
        <v>6.2899999999999998E-2</v>
      </c>
      <c r="S101" s="36">
        <v>0</v>
      </c>
      <c r="T101" s="36">
        <v>2.0799999999999998E-3</v>
      </c>
      <c r="U101" s="72">
        <v>0.67400000000000004</v>
      </c>
      <c r="V101" s="307">
        <v>0.622</v>
      </c>
      <c r="W101" s="36">
        <v>0.622</v>
      </c>
      <c r="X101" s="36">
        <v>0</v>
      </c>
      <c r="Y101" s="36">
        <v>5.2400000000000002E-2</v>
      </c>
      <c r="Z101" s="50">
        <v>0.158</v>
      </c>
      <c r="AA101" s="78">
        <v>0.14499999999999999</v>
      </c>
      <c r="AB101" s="53">
        <v>1.2699999999999999E-2</v>
      </c>
      <c r="AC101" s="308">
        <v>0</v>
      </c>
      <c r="AD101" s="109" t="s">
        <v>884</v>
      </c>
      <c r="AE101" s="30" t="s">
        <v>1371</v>
      </c>
    </row>
    <row r="102" spans="1:31" s="305" customFormat="1">
      <c r="A102" s="1339" t="s">
        <v>882</v>
      </c>
      <c r="B102" s="217" t="s">
        <v>1381</v>
      </c>
      <c r="C102" s="45" t="s">
        <v>1382</v>
      </c>
      <c r="D102" s="88" t="s">
        <v>1368</v>
      </c>
      <c r="E102" s="30" t="s">
        <v>1369</v>
      </c>
      <c r="F102" s="71">
        <v>1100</v>
      </c>
      <c r="G102" s="47" t="s">
        <v>268</v>
      </c>
      <c r="H102" s="33">
        <v>241</v>
      </c>
      <c r="I102" s="85">
        <v>199</v>
      </c>
      <c r="J102" s="49">
        <v>42.5</v>
      </c>
      <c r="K102" s="86">
        <v>0.74399999999999999</v>
      </c>
      <c r="L102" s="307">
        <v>0.68899999999999995</v>
      </c>
      <c r="M102" s="39">
        <v>0.68899999999999995</v>
      </c>
      <c r="N102" s="39">
        <v>0</v>
      </c>
      <c r="O102" s="36">
        <v>5.45E-2</v>
      </c>
      <c r="P102" s="86">
        <v>6.3299999999999995E-2</v>
      </c>
      <c r="Q102" s="307">
        <v>6.1199999999999997E-2</v>
      </c>
      <c r="R102" s="36">
        <v>6.1199999999999997E-2</v>
      </c>
      <c r="S102" s="36">
        <v>0</v>
      </c>
      <c r="T102" s="36">
        <v>2.0799999999999998E-3</v>
      </c>
      <c r="U102" s="86">
        <v>0.68</v>
      </c>
      <c r="V102" s="307">
        <v>0.628</v>
      </c>
      <c r="W102" s="36">
        <v>0.628</v>
      </c>
      <c r="X102" s="36">
        <v>0</v>
      </c>
      <c r="Y102" s="36">
        <v>5.2400000000000002E-2</v>
      </c>
      <c r="Z102" s="72">
        <v>0.151</v>
      </c>
      <c r="AA102" s="77">
        <v>0.13800000000000001</v>
      </c>
      <c r="AB102" s="53">
        <v>1.2699999999999999E-2</v>
      </c>
      <c r="AC102" s="308">
        <v>0</v>
      </c>
      <c r="AD102" s="109" t="s">
        <v>1383</v>
      </c>
      <c r="AE102" s="30" t="s">
        <v>1371</v>
      </c>
    </row>
    <row r="103" spans="1:31" s="305" customFormat="1">
      <c r="A103" s="1339" t="s">
        <v>1384</v>
      </c>
      <c r="B103" s="217" t="s">
        <v>1385</v>
      </c>
      <c r="C103" s="45" t="s">
        <v>1386</v>
      </c>
      <c r="D103" s="88" t="s">
        <v>1368</v>
      </c>
      <c r="E103" s="30" t="s">
        <v>1369</v>
      </c>
      <c r="F103" s="71">
        <v>1540</v>
      </c>
      <c r="G103" s="47" t="s">
        <v>268</v>
      </c>
      <c r="H103" s="54">
        <v>1740</v>
      </c>
      <c r="I103" s="74">
        <v>1700</v>
      </c>
      <c r="J103" s="49">
        <v>42.5</v>
      </c>
      <c r="K103" s="72">
        <v>5.44</v>
      </c>
      <c r="L103" s="307">
        <v>5.38</v>
      </c>
      <c r="M103" s="39">
        <v>4.6100000000000003</v>
      </c>
      <c r="N103" s="39">
        <v>0.77900000000000003</v>
      </c>
      <c r="O103" s="36">
        <v>5.45E-2</v>
      </c>
      <c r="P103" s="72">
        <v>0.23799999999999999</v>
      </c>
      <c r="Q103" s="307">
        <v>0.23599999999999999</v>
      </c>
      <c r="R103" s="36">
        <v>0.23599999999999999</v>
      </c>
      <c r="S103" s="36">
        <v>0</v>
      </c>
      <c r="T103" s="36">
        <v>2.0799999999999998E-3</v>
      </c>
      <c r="U103" s="72">
        <v>5.2</v>
      </c>
      <c r="V103" s="307">
        <v>5.15</v>
      </c>
      <c r="W103" s="36">
        <v>4.37</v>
      </c>
      <c r="X103" s="36">
        <v>0.77900000000000003</v>
      </c>
      <c r="Y103" s="36">
        <v>5.2400000000000002E-2</v>
      </c>
      <c r="Z103" s="50">
        <v>0.97</v>
      </c>
      <c r="AA103" s="78">
        <v>0.95699999999999996</v>
      </c>
      <c r="AB103" s="53">
        <v>1.2699999999999999E-2</v>
      </c>
      <c r="AC103" s="308">
        <v>0</v>
      </c>
      <c r="AD103" s="109" t="s">
        <v>1387</v>
      </c>
      <c r="AE103" s="30" t="s">
        <v>1371</v>
      </c>
    </row>
    <row r="104" spans="1:31" s="305" customFormat="1">
      <c r="A104" s="1339" t="s">
        <v>645</v>
      </c>
      <c r="B104" s="217" t="s">
        <v>1388</v>
      </c>
      <c r="C104" s="45" t="s">
        <v>1389</v>
      </c>
      <c r="D104" s="88" t="s">
        <v>1368</v>
      </c>
      <c r="E104" s="30" t="s">
        <v>1369</v>
      </c>
      <c r="F104" s="71">
        <v>1550</v>
      </c>
      <c r="G104" s="47" t="s">
        <v>268</v>
      </c>
      <c r="H104" s="54">
        <v>396</v>
      </c>
      <c r="I104" s="74">
        <v>353</v>
      </c>
      <c r="J104" s="49">
        <v>42.5</v>
      </c>
      <c r="K104" s="72">
        <v>0.85099999999999998</v>
      </c>
      <c r="L104" s="307">
        <v>0.79600000000000004</v>
      </c>
      <c r="M104" s="39">
        <v>0.79600000000000004</v>
      </c>
      <c r="N104" s="39">
        <v>0</v>
      </c>
      <c r="O104" s="36">
        <v>5.45E-2</v>
      </c>
      <c r="P104" s="72">
        <v>0.13600000000000001</v>
      </c>
      <c r="Q104" s="307">
        <v>0.13400000000000001</v>
      </c>
      <c r="R104" s="36">
        <v>0.13400000000000001</v>
      </c>
      <c r="S104" s="36">
        <v>0</v>
      </c>
      <c r="T104" s="36">
        <v>2.0799999999999998E-3</v>
      </c>
      <c r="U104" s="72">
        <v>0.71499999999999997</v>
      </c>
      <c r="V104" s="307">
        <v>0.66200000000000003</v>
      </c>
      <c r="W104" s="36">
        <v>0.66200000000000003</v>
      </c>
      <c r="X104" s="36">
        <v>0</v>
      </c>
      <c r="Y104" s="36">
        <v>5.2400000000000002E-2</v>
      </c>
      <c r="Z104" s="50">
        <v>0.26300000000000001</v>
      </c>
      <c r="AA104" s="78">
        <v>0.251</v>
      </c>
      <c r="AB104" s="53">
        <v>1.2699999999999999E-2</v>
      </c>
      <c r="AC104" s="308">
        <v>0</v>
      </c>
      <c r="AD104" s="109" t="s">
        <v>878</v>
      </c>
      <c r="AE104" s="30" t="s">
        <v>1371</v>
      </c>
    </row>
    <row r="105" spans="1:31" s="305" customFormat="1">
      <c r="A105" s="323" t="s">
        <v>1390</v>
      </c>
      <c r="B105" s="217" t="s">
        <v>1391</v>
      </c>
      <c r="C105" s="45" t="s">
        <v>1392</v>
      </c>
      <c r="D105" s="88" t="s">
        <v>1368</v>
      </c>
      <c r="E105" s="30" t="s">
        <v>1369</v>
      </c>
      <c r="F105" s="71">
        <v>1800</v>
      </c>
      <c r="G105" s="47" t="s">
        <v>268</v>
      </c>
      <c r="H105" s="48">
        <v>96.2</v>
      </c>
      <c r="I105" s="75">
        <v>53.7</v>
      </c>
      <c r="J105" s="49">
        <v>42.5</v>
      </c>
      <c r="K105" s="50">
        <v>0.191</v>
      </c>
      <c r="L105" s="307">
        <v>0.13700000000000001</v>
      </c>
      <c r="M105" s="39">
        <v>0.13700000000000001</v>
      </c>
      <c r="N105" s="39">
        <v>0</v>
      </c>
      <c r="O105" s="36">
        <v>5.45E-2</v>
      </c>
      <c r="P105" s="50">
        <v>1.9E-2</v>
      </c>
      <c r="Q105" s="307">
        <v>1.6899999999999998E-2</v>
      </c>
      <c r="R105" s="36">
        <v>1.6899999999999998E-2</v>
      </c>
      <c r="S105" s="36">
        <v>0</v>
      </c>
      <c r="T105" s="36">
        <v>2.0799999999999998E-3</v>
      </c>
      <c r="U105" s="50">
        <v>0.17199999999999999</v>
      </c>
      <c r="V105" s="307">
        <v>0.12</v>
      </c>
      <c r="W105" s="36">
        <v>0.12</v>
      </c>
      <c r="X105" s="36">
        <v>0</v>
      </c>
      <c r="Y105" s="36">
        <v>5.2400000000000002E-2</v>
      </c>
      <c r="Z105" s="50">
        <v>3.2300000000000002E-2</v>
      </c>
      <c r="AA105" s="78">
        <v>1.95E-2</v>
      </c>
      <c r="AB105" s="53">
        <v>1.2699999999999999E-2</v>
      </c>
      <c r="AC105" s="308">
        <v>0</v>
      </c>
      <c r="AD105" s="109" t="s">
        <v>1393</v>
      </c>
      <c r="AE105" s="30" t="s">
        <v>1371</v>
      </c>
    </row>
    <row r="106" spans="1:31" s="305" customFormat="1">
      <c r="A106" s="1339" t="s">
        <v>1394</v>
      </c>
      <c r="B106" s="217" t="s">
        <v>1395</v>
      </c>
      <c r="C106" s="45" t="s">
        <v>1396</v>
      </c>
      <c r="D106" s="88" t="s">
        <v>1368</v>
      </c>
      <c r="E106" s="30" t="s">
        <v>1369</v>
      </c>
      <c r="F106" s="71">
        <v>1000</v>
      </c>
      <c r="G106" s="47" t="s">
        <v>268</v>
      </c>
      <c r="H106" s="54">
        <v>574</v>
      </c>
      <c r="I106" s="74">
        <v>532</v>
      </c>
      <c r="J106" s="49">
        <v>42.5</v>
      </c>
      <c r="K106" s="72">
        <v>1.4</v>
      </c>
      <c r="L106" s="307">
        <v>1.34</v>
      </c>
      <c r="M106" s="39">
        <v>1.34</v>
      </c>
      <c r="N106" s="39">
        <v>0</v>
      </c>
      <c r="O106" s="36">
        <v>5.45E-2</v>
      </c>
      <c r="P106" s="72">
        <v>0.16400000000000001</v>
      </c>
      <c r="Q106" s="307">
        <v>0.16200000000000001</v>
      </c>
      <c r="R106" s="36">
        <v>0.16200000000000001</v>
      </c>
      <c r="S106" s="36">
        <v>0</v>
      </c>
      <c r="T106" s="36">
        <v>2.0799999999999998E-3</v>
      </c>
      <c r="U106" s="72">
        <v>1.23</v>
      </c>
      <c r="V106" s="307">
        <v>1.18</v>
      </c>
      <c r="W106" s="36">
        <v>1.18</v>
      </c>
      <c r="X106" s="36">
        <v>0</v>
      </c>
      <c r="Y106" s="36">
        <v>5.2400000000000002E-2</v>
      </c>
      <c r="Z106" s="50">
        <v>0.373</v>
      </c>
      <c r="AA106" s="78">
        <v>0.36</v>
      </c>
      <c r="AB106" s="53">
        <v>1.2699999999999999E-2</v>
      </c>
      <c r="AC106" s="308">
        <v>0</v>
      </c>
      <c r="AD106" s="109" t="s">
        <v>1397</v>
      </c>
      <c r="AE106" s="30" t="s">
        <v>1371</v>
      </c>
    </row>
    <row r="107" spans="1:31" s="305" customFormat="1">
      <c r="A107" s="357" t="s">
        <v>1398</v>
      </c>
      <c r="B107" s="217" t="s">
        <v>1399</v>
      </c>
      <c r="C107" s="45" t="s">
        <v>1400</v>
      </c>
      <c r="D107" s="88" t="s">
        <v>1368</v>
      </c>
      <c r="E107" s="30" t="s">
        <v>1369</v>
      </c>
      <c r="F107" s="71">
        <v>1880</v>
      </c>
      <c r="G107" s="47" t="s">
        <v>268</v>
      </c>
      <c r="H107" s="54">
        <v>1880</v>
      </c>
      <c r="I107" s="74">
        <v>1840</v>
      </c>
      <c r="J107" s="49">
        <v>42.5</v>
      </c>
      <c r="K107" s="72">
        <v>5.76</v>
      </c>
      <c r="L107" s="307">
        <v>5.71</v>
      </c>
      <c r="M107" s="39">
        <v>5.71</v>
      </c>
      <c r="N107" s="39">
        <v>0</v>
      </c>
      <c r="O107" s="36">
        <v>5.45E-2</v>
      </c>
      <c r="P107" s="72">
        <v>0.27800000000000002</v>
      </c>
      <c r="Q107" s="307">
        <v>0.27600000000000002</v>
      </c>
      <c r="R107" s="36">
        <v>0.27600000000000002</v>
      </c>
      <c r="S107" s="36">
        <v>0</v>
      </c>
      <c r="T107" s="36">
        <v>2.0799999999999998E-3</v>
      </c>
      <c r="U107" s="72">
        <v>5.49</v>
      </c>
      <c r="V107" s="307">
        <v>5.43</v>
      </c>
      <c r="W107" s="36">
        <v>5.43</v>
      </c>
      <c r="X107" s="36">
        <v>0</v>
      </c>
      <c r="Y107" s="36">
        <v>5.2400000000000002E-2</v>
      </c>
      <c r="Z107" s="51">
        <v>1.08</v>
      </c>
      <c r="AA107" s="83">
        <v>1.07</v>
      </c>
      <c r="AB107" s="53">
        <v>1.2699999999999999E-2</v>
      </c>
      <c r="AC107" s="308">
        <v>0</v>
      </c>
      <c r="AD107" s="332" t="s">
        <v>1401</v>
      </c>
      <c r="AE107" s="30" t="s">
        <v>1371</v>
      </c>
    </row>
    <row r="108" spans="1:31" s="305" customFormat="1">
      <c r="A108" s="1339" t="s">
        <v>1402</v>
      </c>
      <c r="B108" s="217" t="s">
        <v>1403</v>
      </c>
      <c r="C108" s="45" t="s">
        <v>1404</v>
      </c>
      <c r="D108" s="88" t="s">
        <v>1368</v>
      </c>
      <c r="E108" s="30" t="s">
        <v>1369</v>
      </c>
      <c r="F108" s="71">
        <v>1670</v>
      </c>
      <c r="G108" s="47" t="s">
        <v>268</v>
      </c>
      <c r="H108" s="54">
        <v>2010</v>
      </c>
      <c r="I108" s="74">
        <v>1970</v>
      </c>
      <c r="J108" s="49">
        <v>42.5</v>
      </c>
      <c r="K108" s="72">
        <v>6.45</v>
      </c>
      <c r="L108" s="307">
        <v>6.4</v>
      </c>
      <c r="M108" s="39">
        <v>6.4</v>
      </c>
      <c r="N108" s="39">
        <v>0</v>
      </c>
      <c r="O108" s="36">
        <v>5.45E-2</v>
      </c>
      <c r="P108" s="72">
        <v>0.36099999999999999</v>
      </c>
      <c r="Q108" s="307">
        <v>0.35899999999999999</v>
      </c>
      <c r="R108" s="36">
        <v>0.35899999999999999</v>
      </c>
      <c r="S108" s="36">
        <v>0</v>
      </c>
      <c r="T108" s="36">
        <v>2.0799999999999998E-3</v>
      </c>
      <c r="U108" s="72">
        <v>6.09</v>
      </c>
      <c r="V108" s="307">
        <v>6.04</v>
      </c>
      <c r="W108" s="36">
        <v>6.04</v>
      </c>
      <c r="X108" s="36">
        <v>0</v>
      </c>
      <c r="Y108" s="36">
        <v>5.2400000000000002E-2</v>
      </c>
      <c r="Z108" s="51">
        <v>1.1399999999999999</v>
      </c>
      <c r="AA108" s="83">
        <v>1.1299999999999999</v>
      </c>
      <c r="AB108" s="53">
        <v>1.2699999999999999E-2</v>
      </c>
      <c r="AC108" s="308">
        <v>0</v>
      </c>
      <c r="AD108" s="109" t="s">
        <v>1405</v>
      </c>
      <c r="AE108" s="30" t="s">
        <v>1371</v>
      </c>
    </row>
    <row r="109" spans="1:31" s="305" customFormat="1">
      <c r="A109" s="1339" t="s">
        <v>1406</v>
      </c>
      <c r="B109" s="217" t="s">
        <v>1407</v>
      </c>
      <c r="C109" s="45" t="s">
        <v>1408</v>
      </c>
      <c r="D109" s="88" t="s">
        <v>1368</v>
      </c>
      <c r="E109" s="30" t="s">
        <v>1369</v>
      </c>
      <c r="F109" s="71">
        <v>1350</v>
      </c>
      <c r="G109" s="47" t="s">
        <v>268</v>
      </c>
      <c r="H109" s="54">
        <v>745</v>
      </c>
      <c r="I109" s="74">
        <v>702</v>
      </c>
      <c r="J109" s="49">
        <v>42.5</v>
      </c>
      <c r="K109" s="72">
        <v>1.9</v>
      </c>
      <c r="L109" s="307">
        <v>1.84</v>
      </c>
      <c r="M109" s="39">
        <v>1.84</v>
      </c>
      <c r="N109" s="39">
        <v>0</v>
      </c>
      <c r="O109" s="36">
        <v>5.45E-2</v>
      </c>
      <c r="P109" s="72">
        <v>0.13</v>
      </c>
      <c r="Q109" s="307">
        <v>0.128</v>
      </c>
      <c r="R109" s="36">
        <v>0.128</v>
      </c>
      <c r="S109" s="36">
        <v>0</v>
      </c>
      <c r="T109" s="36">
        <v>2.0799999999999998E-3</v>
      </c>
      <c r="U109" s="72">
        <v>1.77</v>
      </c>
      <c r="V109" s="307">
        <v>1.72</v>
      </c>
      <c r="W109" s="36">
        <v>1.72</v>
      </c>
      <c r="X109" s="36">
        <v>0</v>
      </c>
      <c r="Y109" s="36">
        <v>5.2400000000000002E-2</v>
      </c>
      <c r="Z109" s="51">
        <v>0.51</v>
      </c>
      <c r="AA109" s="83">
        <v>0.497</v>
      </c>
      <c r="AB109" s="53">
        <v>1.2699999999999999E-2</v>
      </c>
      <c r="AC109" s="308">
        <v>0</v>
      </c>
      <c r="AD109" s="109" t="s">
        <v>1409</v>
      </c>
      <c r="AE109" s="30" t="s">
        <v>1371</v>
      </c>
    </row>
    <row r="110" spans="1:31" s="305" customFormat="1">
      <c r="A110" s="323" t="s">
        <v>861</v>
      </c>
      <c r="B110" s="217" t="s">
        <v>1410</v>
      </c>
      <c r="C110" s="45" t="s">
        <v>1411</v>
      </c>
      <c r="D110" s="88" t="s">
        <v>1216</v>
      </c>
      <c r="E110" s="30" t="s">
        <v>1217</v>
      </c>
      <c r="F110" s="71">
        <v>2000</v>
      </c>
      <c r="G110" s="47" t="s">
        <v>268</v>
      </c>
      <c r="H110" s="54">
        <v>215</v>
      </c>
      <c r="I110" s="75">
        <v>172</v>
      </c>
      <c r="J110" s="49">
        <v>42.5</v>
      </c>
      <c r="K110" s="72">
        <v>0.46100000000000002</v>
      </c>
      <c r="L110" s="307">
        <v>0.40699999999999997</v>
      </c>
      <c r="M110" s="39">
        <v>0.40699999999999997</v>
      </c>
      <c r="N110" s="39">
        <v>0</v>
      </c>
      <c r="O110" s="36">
        <v>5.4800000000000001E-2</v>
      </c>
      <c r="P110" s="72">
        <v>3.2300000000000002E-2</v>
      </c>
      <c r="Q110" s="307">
        <v>3.0099999999999998E-2</v>
      </c>
      <c r="R110" s="36">
        <v>3.0099999999999998E-2</v>
      </c>
      <c r="S110" s="36">
        <v>0</v>
      </c>
      <c r="T110" s="36">
        <v>2.2100000000000002E-3</v>
      </c>
      <c r="U110" s="72">
        <v>0.42899999999999999</v>
      </c>
      <c r="V110" s="307">
        <v>0.376</v>
      </c>
      <c r="W110" s="36">
        <v>0.376</v>
      </c>
      <c r="X110" s="36">
        <v>0</v>
      </c>
      <c r="Y110" s="36">
        <v>5.2600000000000001E-2</v>
      </c>
      <c r="Z110" s="51">
        <v>9.11E-2</v>
      </c>
      <c r="AA110" s="83">
        <v>7.8399999999999997E-2</v>
      </c>
      <c r="AB110" s="52">
        <v>1.2699999999999999E-2</v>
      </c>
      <c r="AC110" s="308">
        <v>0</v>
      </c>
      <c r="AD110" s="109" t="s">
        <v>1412</v>
      </c>
      <c r="AE110" s="30" t="s">
        <v>1219</v>
      </c>
    </row>
    <row r="111" spans="1:31" s="305" customFormat="1">
      <c r="A111" s="323" t="s">
        <v>859</v>
      </c>
      <c r="B111" s="217" t="s">
        <v>1413</v>
      </c>
      <c r="C111" s="45" t="s">
        <v>1414</v>
      </c>
      <c r="D111" s="88" t="s">
        <v>1216</v>
      </c>
      <c r="E111" s="30" t="s">
        <v>1217</v>
      </c>
      <c r="F111" s="71">
        <v>1850</v>
      </c>
      <c r="G111" s="47" t="s">
        <v>268</v>
      </c>
      <c r="H111" s="54">
        <v>206</v>
      </c>
      <c r="I111" s="74">
        <v>163</v>
      </c>
      <c r="J111" s="49">
        <v>42.5</v>
      </c>
      <c r="K111" s="72">
        <v>0.26800000000000002</v>
      </c>
      <c r="L111" s="307">
        <v>0.21299999999999999</v>
      </c>
      <c r="M111" s="39">
        <v>0.21299999999999999</v>
      </c>
      <c r="N111" s="39">
        <v>0</v>
      </c>
      <c r="O111" s="36">
        <v>5.4800000000000001E-2</v>
      </c>
      <c r="P111" s="72">
        <v>3.6600000000000001E-2</v>
      </c>
      <c r="Q111" s="307">
        <v>3.44E-2</v>
      </c>
      <c r="R111" s="36">
        <v>3.44E-2</v>
      </c>
      <c r="S111" s="36">
        <v>0</v>
      </c>
      <c r="T111" s="36">
        <v>2.2100000000000002E-3</v>
      </c>
      <c r="U111" s="72">
        <v>0.23100000000000001</v>
      </c>
      <c r="V111" s="307">
        <v>0.17899999999999999</v>
      </c>
      <c r="W111" s="36">
        <v>0.17899999999999999</v>
      </c>
      <c r="X111" s="36">
        <v>0</v>
      </c>
      <c r="Y111" s="36">
        <v>5.2600000000000001E-2</v>
      </c>
      <c r="Z111" s="50">
        <v>0.12</v>
      </c>
      <c r="AA111" s="78">
        <v>0.107</v>
      </c>
      <c r="AB111" s="53">
        <v>1.2699999999999999E-2</v>
      </c>
      <c r="AC111" s="308">
        <v>0</v>
      </c>
      <c r="AD111" s="109" t="s">
        <v>1415</v>
      </c>
      <c r="AE111" s="30" t="s">
        <v>1219</v>
      </c>
    </row>
    <row r="112" spans="1:31" s="305" customFormat="1">
      <c r="A112" s="323" t="s">
        <v>1416</v>
      </c>
      <c r="B112" s="217" t="s">
        <v>1417</v>
      </c>
      <c r="C112" s="45" t="s">
        <v>1418</v>
      </c>
      <c r="D112" s="88" t="s">
        <v>1368</v>
      </c>
      <c r="E112" s="30" t="s">
        <v>1369</v>
      </c>
      <c r="F112" s="71">
        <v>250</v>
      </c>
      <c r="G112" s="47" t="s">
        <v>268</v>
      </c>
      <c r="H112" s="54">
        <v>964</v>
      </c>
      <c r="I112" s="74">
        <v>921</v>
      </c>
      <c r="J112" s="49">
        <v>42.5</v>
      </c>
      <c r="K112" s="72">
        <v>1.94</v>
      </c>
      <c r="L112" s="307">
        <v>1.88</v>
      </c>
      <c r="M112" s="39">
        <v>1.46</v>
      </c>
      <c r="N112" s="39">
        <v>0.42399999999999999</v>
      </c>
      <c r="O112" s="36">
        <v>5.45E-2</v>
      </c>
      <c r="P112" s="72">
        <v>0.151</v>
      </c>
      <c r="Q112" s="307">
        <v>0.14799999999999999</v>
      </c>
      <c r="R112" s="36">
        <v>0.14799999999999999</v>
      </c>
      <c r="S112" s="36">
        <v>0</v>
      </c>
      <c r="T112" s="36">
        <v>2.0799999999999998E-3</v>
      </c>
      <c r="U112" s="72">
        <v>1.79</v>
      </c>
      <c r="V112" s="307">
        <v>1.74</v>
      </c>
      <c r="W112" s="36">
        <v>1.31</v>
      </c>
      <c r="X112" s="36">
        <v>0.42399999999999999</v>
      </c>
      <c r="Y112" s="36">
        <v>5.2400000000000002E-2</v>
      </c>
      <c r="Z112" s="50">
        <v>0.72699999999999998</v>
      </c>
      <c r="AA112" s="78">
        <v>0.71399999999999997</v>
      </c>
      <c r="AB112" s="53">
        <v>1.2699999999999999E-2</v>
      </c>
      <c r="AC112" s="308">
        <v>0</v>
      </c>
      <c r="AD112" s="109" t="s">
        <v>1419</v>
      </c>
      <c r="AE112" s="30" t="s">
        <v>1371</v>
      </c>
    </row>
    <row r="113" spans="1:31" s="305" customFormat="1">
      <c r="A113" s="1339" t="s">
        <v>1420</v>
      </c>
      <c r="B113" s="217" t="s">
        <v>1421</v>
      </c>
      <c r="C113" s="45" t="s">
        <v>1422</v>
      </c>
      <c r="D113" s="88" t="s">
        <v>1368</v>
      </c>
      <c r="E113" s="30" t="s">
        <v>1369</v>
      </c>
      <c r="F113" s="71">
        <v>1550</v>
      </c>
      <c r="G113" s="47" t="s">
        <v>268</v>
      </c>
      <c r="H113" s="54">
        <v>507</v>
      </c>
      <c r="I113" s="74">
        <v>464</v>
      </c>
      <c r="J113" s="49">
        <v>42.5</v>
      </c>
      <c r="K113" s="72">
        <v>1.04</v>
      </c>
      <c r="L113" s="307">
        <v>0.98699999999999999</v>
      </c>
      <c r="M113" s="39">
        <v>0.98699999999999999</v>
      </c>
      <c r="N113" s="39">
        <v>0</v>
      </c>
      <c r="O113" s="36">
        <v>5.45E-2</v>
      </c>
      <c r="P113" s="72">
        <v>0.14099999999999999</v>
      </c>
      <c r="Q113" s="307">
        <v>0.13900000000000001</v>
      </c>
      <c r="R113" s="36">
        <v>0.13900000000000001</v>
      </c>
      <c r="S113" s="36">
        <v>0</v>
      </c>
      <c r="T113" s="36">
        <v>2.0799999999999998E-3</v>
      </c>
      <c r="U113" s="72">
        <v>0.90100000000000002</v>
      </c>
      <c r="V113" s="307">
        <v>0.84799999999999998</v>
      </c>
      <c r="W113" s="36">
        <v>0.84799999999999998</v>
      </c>
      <c r="X113" s="36">
        <v>0</v>
      </c>
      <c r="Y113" s="36">
        <v>5.2400000000000002E-2</v>
      </c>
      <c r="Z113" s="50">
        <v>0.35299999999999998</v>
      </c>
      <c r="AA113" s="78">
        <v>0.34100000000000003</v>
      </c>
      <c r="AB113" s="53">
        <v>1.2699999999999999E-2</v>
      </c>
      <c r="AC113" s="308">
        <v>0</v>
      </c>
      <c r="AD113" s="109" t="s">
        <v>1423</v>
      </c>
      <c r="AE113" s="30" t="s">
        <v>1371</v>
      </c>
    </row>
    <row r="114" spans="1:31" s="305" customFormat="1">
      <c r="A114" s="1339" t="s">
        <v>625</v>
      </c>
      <c r="B114" s="217" t="s">
        <v>1424</v>
      </c>
      <c r="C114" s="45" t="s">
        <v>1425</v>
      </c>
      <c r="D114" s="88" t="s">
        <v>1368</v>
      </c>
      <c r="E114" s="30" t="s">
        <v>1369</v>
      </c>
      <c r="F114" s="71">
        <v>1550</v>
      </c>
      <c r="G114" s="47" t="s">
        <v>268</v>
      </c>
      <c r="H114" s="54">
        <v>391</v>
      </c>
      <c r="I114" s="74">
        <v>348</v>
      </c>
      <c r="J114" s="49">
        <v>42.5</v>
      </c>
      <c r="K114" s="72">
        <v>0.78200000000000003</v>
      </c>
      <c r="L114" s="307">
        <v>0.72799999999999998</v>
      </c>
      <c r="M114" s="39">
        <v>0.72799999999999998</v>
      </c>
      <c r="N114" s="39">
        <v>0</v>
      </c>
      <c r="O114" s="36">
        <v>5.45E-2</v>
      </c>
      <c r="P114" s="72">
        <v>0.128</v>
      </c>
      <c r="Q114" s="307">
        <v>0.126</v>
      </c>
      <c r="R114" s="36">
        <v>0.126</v>
      </c>
      <c r="S114" s="36">
        <v>0</v>
      </c>
      <c r="T114" s="36">
        <v>2.0799999999999998E-3</v>
      </c>
      <c r="U114" s="72">
        <v>0.65400000000000003</v>
      </c>
      <c r="V114" s="307">
        <v>0.60199999999999998</v>
      </c>
      <c r="W114" s="36">
        <v>0.60199999999999998</v>
      </c>
      <c r="X114" s="36">
        <v>0</v>
      </c>
      <c r="Y114" s="36">
        <v>5.2400000000000002E-2</v>
      </c>
      <c r="Z114" s="50">
        <v>0.26100000000000001</v>
      </c>
      <c r="AA114" s="78">
        <v>0.248</v>
      </c>
      <c r="AB114" s="53">
        <v>1.2699999999999999E-2</v>
      </c>
      <c r="AC114" s="308">
        <v>0</v>
      </c>
      <c r="AD114" s="109" t="s">
        <v>1426</v>
      </c>
      <c r="AE114" s="30" t="s">
        <v>1371</v>
      </c>
    </row>
    <row r="115" spans="1:31" s="305" customFormat="1" ht="14.25">
      <c r="A115" s="298" t="s">
        <v>1427</v>
      </c>
      <c r="B115" s="691"/>
      <c r="C115" s="298" t="s">
        <v>1428</v>
      </c>
      <c r="D115" s="40"/>
      <c r="E115" s="41"/>
      <c r="F115" s="42" t="s">
        <v>1429</v>
      </c>
      <c r="G115" s="43"/>
      <c r="H115" s="299"/>
      <c r="I115" s="299"/>
      <c r="J115" s="327"/>
      <c r="K115" s="328"/>
      <c r="L115" s="355"/>
      <c r="M115" s="312"/>
      <c r="N115" s="312"/>
      <c r="O115" s="356"/>
      <c r="P115" s="355"/>
      <c r="Q115" s="355"/>
      <c r="R115" s="312"/>
      <c r="S115" s="312"/>
      <c r="T115" s="355"/>
      <c r="U115" s="358"/>
      <c r="V115" s="355"/>
      <c r="W115" s="312"/>
      <c r="X115" s="312"/>
      <c r="Y115" s="355"/>
      <c r="Z115" s="303"/>
      <c r="AA115" s="301"/>
      <c r="AB115" s="301"/>
      <c r="AC115" s="301"/>
      <c r="AD115" s="304" t="s">
        <v>1430</v>
      </c>
      <c r="AE115" s="41"/>
    </row>
    <row r="116" spans="1:31" s="305" customFormat="1" ht="14.25">
      <c r="A116" s="323" t="s">
        <v>715</v>
      </c>
      <c r="B116" s="217" t="s">
        <v>1431</v>
      </c>
      <c r="C116" s="45" t="s">
        <v>1432</v>
      </c>
      <c r="D116" s="315" t="s">
        <v>1433</v>
      </c>
      <c r="E116" s="30" t="s">
        <v>1434</v>
      </c>
      <c r="F116" s="47" t="s">
        <v>1012</v>
      </c>
      <c r="G116" s="47" t="s">
        <v>1019</v>
      </c>
      <c r="H116" s="33">
        <v>329000</v>
      </c>
      <c r="I116" s="85">
        <v>313000</v>
      </c>
      <c r="J116" s="34">
        <v>15500</v>
      </c>
      <c r="K116" s="91">
        <v>776</v>
      </c>
      <c r="L116" s="307">
        <v>771</v>
      </c>
      <c r="M116" s="39">
        <v>771</v>
      </c>
      <c r="N116" s="39">
        <v>0</v>
      </c>
      <c r="O116" s="36">
        <v>5.72</v>
      </c>
      <c r="P116" s="91">
        <v>73.2</v>
      </c>
      <c r="Q116" s="307">
        <v>72.8</v>
      </c>
      <c r="R116" s="36">
        <v>72.8</v>
      </c>
      <c r="S116" s="36">
        <v>0</v>
      </c>
      <c r="T116" s="36">
        <v>0.49</v>
      </c>
      <c r="U116" s="91">
        <v>703</v>
      </c>
      <c r="V116" s="307">
        <v>698</v>
      </c>
      <c r="W116" s="36">
        <v>698</v>
      </c>
      <c r="X116" s="36">
        <v>0</v>
      </c>
      <c r="Y116" s="36">
        <v>5.23</v>
      </c>
      <c r="Z116" s="38">
        <v>182</v>
      </c>
      <c r="AA116" s="89">
        <v>169</v>
      </c>
      <c r="AB116" s="39">
        <v>13.1</v>
      </c>
      <c r="AC116" s="308">
        <v>0</v>
      </c>
      <c r="AD116" s="109" t="s">
        <v>1435</v>
      </c>
      <c r="AE116" s="30" t="s">
        <v>1436</v>
      </c>
    </row>
    <row r="117" spans="1:31" s="305" customFormat="1" ht="14.25" customHeight="1">
      <c r="A117" s="1339" t="s">
        <v>683</v>
      </c>
      <c r="B117" s="217" t="s">
        <v>1437</v>
      </c>
      <c r="C117" s="45" t="s">
        <v>682</v>
      </c>
      <c r="D117" s="44" t="s">
        <v>1438</v>
      </c>
      <c r="E117" s="30" t="s">
        <v>1439</v>
      </c>
      <c r="F117" s="47">
        <v>7.1</v>
      </c>
      <c r="G117" s="47" t="s">
        <v>1019</v>
      </c>
      <c r="H117" s="33">
        <v>74900</v>
      </c>
      <c r="I117" s="85">
        <v>66600</v>
      </c>
      <c r="J117" s="34">
        <v>8270</v>
      </c>
      <c r="K117" s="91">
        <v>216</v>
      </c>
      <c r="L117" s="307">
        <v>216</v>
      </c>
      <c r="M117" s="39">
        <v>216</v>
      </c>
      <c r="N117" s="39">
        <v>0</v>
      </c>
      <c r="O117" s="36">
        <v>0.92100000000000004</v>
      </c>
      <c r="P117" s="91">
        <v>24</v>
      </c>
      <c r="Q117" s="307">
        <v>24</v>
      </c>
      <c r="R117" s="36">
        <v>24</v>
      </c>
      <c r="S117" s="36">
        <v>0</v>
      </c>
      <c r="T117" s="36">
        <v>5.11E-2</v>
      </c>
      <c r="U117" s="91">
        <v>192</v>
      </c>
      <c r="V117" s="307">
        <v>192</v>
      </c>
      <c r="W117" s="36">
        <v>192</v>
      </c>
      <c r="X117" s="36">
        <v>0</v>
      </c>
      <c r="Y117" s="36">
        <v>0.87</v>
      </c>
      <c r="Z117" s="38">
        <v>43.3</v>
      </c>
      <c r="AA117" s="89">
        <v>35.700000000000003</v>
      </c>
      <c r="AB117" s="39">
        <v>7.65</v>
      </c>
      <c r="AC117" s="308">
        <v>0</v>
      </c>
      <c r="AD117" s="109" t="s">
        <v>1440</v>
      </c>
      <c r="AE117" s="30" t="s">
        <v>1441</v>
      </c>
    </row>
    <row r="118" spans="1:31" s="325" customFormat="1" ht="14.25" customHeight="1">
      <c r="A118" s="331" t="s">
        <v>1442</v>
      </c>
      <c r="B118" s="217" t="s">
        <v>1443</v>
      </c>
      <c r="C118" s="30" t="s">
        <v>1444</v>
      </c>
      <c r="D118" s="88" t="s">
        <v>1176</v>
      </c>
      <c r="E118" s="30" t="s">
        <v>1177</v>
      </c>
      <c r="F118" s="32"/>
      <c r="G118" s="32"/>
      <c r="H118" s="139"/>
      <c r="I118" s="140"/>
      <c r="J118" s="140"/>
      <c r="K118" s="359"/>
      <c r="L118" s="308"/>
      <c r="M118" s="338"/>
      <c r="N118" s="338"/>
      <c r="O118" s="308"/>
      <c r="P118" s="359"/>
      <c r="Q118" s="308"/>
      <c r="R118" s="308"/>
      <c r="S118" s="308"/>
      <c r="T118" s="308"/>
      <c r="U118" s="359"/>
      <c r="V118" s="308"/>
      <c r="W118" s="308"/>
      <c r="X118" s="308"/>
      <c r="Y118" s="308"/>
      <c r="Z118" s="360"/>
      <c r="AA118" s="338"/>
      <c r="AB118" s="338"/>
      <c r="AC118" s="308"/>
      <c r="AD118" s="332" t="s">
        <v>1445</v>
      </c>
      <c r="AE118" s="30" t="s">
        <v>1332</v>
      </c>
    </row>
    <row r="119" spans="1:31" s="325" customFormat="1" ht="14.25" customHeight="1">
      <c r="A119" s="324" t="s">
        <v>1446</v>
      </c>
      <c r="B119" s="692" t="s">
        <v>1447</v>
      </c>
      <c r="C119" s="60" t="s">
        <v>1448</v>
      </c>
      <c r="D119" s="61" t="s">
        <v>1176</v>
      </c>
      <c r="E119" s="60" t="s">
        <v>1177</v>
      </c>
      <c r="F119" s="63">
        <v>33.6</v>
      </c>
      <c r="G119" s="63" t="s">
        <v>1449</v>
      </c>
      <c r="H119" s="361">
        <v>44886.240000000005</v>
      </c>
      <c r="I119" s="362">
        <v>43680</v>
      </c>
      <c r="J119" s="362">
        <v>1206.24</v>
      </c>
      <c r="K119" s="363">
        <v>91.160831999999999</v>
      </c>
      <c r="L119" s="347">
        <v>89.342399999999998</v>
      </c>
      <c r="M119" s="347">
        <v>89.342399999999998</v>
      </c>
      <c r="N119" s="347">
        <v>0</v>
      </c>
      <c r="O119" s="347">
        <v>1.818432</v>
      </c>
      <c r="P119" s="363">
        <v>17.166912000000004</v>
      </c>
      <c r="Q119" s="347">
        <v>17.102399999999999</v>
      </c>
      <c r="R119" s="347">
        <v>17.102399999999999</v>
      </c>
      <c r="S119" s="347">
        <v>0</v>
      </c>
      <c r="T119" s="347">
        <v>6.4512E-2</v>
      </c>
      <c r="U119" s="363">
        <v>73.993920000000003</v>
      </c>
      <c r="V119" s="347">
        <v>72.239999999999995</v>
      </c>
      <c r="W119" s="347">
        <v>72.239999999999995</v>
      </c>
      <c r="X119" s="347">
        <v>0</v>
      </c>
      <c r="Y119" s="347">
        <v>1.7539200000000001</v>
      </c>
      <c r="Z119" s="364">
        <v>29.762880000000003</v>
      </c>
      <c r="AA119" s="347">
        <v>29.332800000000002</v>
      </c>
      <c r="AB119" s="347">
        <v>0.43008000000000002</v>
      </c>
      <c r="AC119" s="347">
        <v>0</v>
      </c>
      <c r="AD119" s="351" t="s">
        <v>1450</v>
      </c>
      <c r="AE119" s="60" t="s">
        <v>1332</v>
      </c>
    </row>
    <row r="120" spans="1:31" s="325" customFormat="1" ht="14.25" customHeight="1">
      <c r="A120" s="324" t="s">
        <v>1451</v>
      </c>
      <c r="B120" s="692" t="s">
        <v>1452</v>
      </c>
      <c r="C120" s="60" t="s">
        <v>1453</v>
      </c>
      <c r="D120" s="61" t="s">
        <v>1176</v>
      </c>
      <c r="E120" s="60" t="s">
        <v>1177</v>
      </c>
      <c r="F120" s="63">
        <v>40.299999999999997</v>
      </c>
      <c r="G120" s="63" t="s">
        <v>1449</v>
      </c>
      <c r="H120" s="361">
        <v>53836.77</v>
      </c>
      <c r="I120" s="362">
        <v>52389.999999999993</v>
      </c>
      <c r="J120" s="362">
        <v>1446.7699999999998</v>
      </c>
      <c r="K120" s="363">
        <v>109.338736</v>
      </c>
      <c r="L120" s="347">
        <v>107.15769999999999</v>
      </c>
      <c r="M120" s="347">
        <v>107.15769999999999</v>
      </c>
      <c r="N120" s="347">
        <v>0</v>
      </c>
      <c r="O120" s="347">
        <v>2.1810359999999998</v>
      </c>
      <c r="P120" s="363">
        <v>20.590076</v>
      </c>
      <c r="Q120" s="347">
        <v>20.512699999999999</v>
      </c>
      <c r="R120" s="347">
        <v>20.512699999999999</v>
      </c>
      <c r="S120" s="347">
        <v>0</v>
      </c>
      <c r="T120" s="347">
        <v>7.7376E-2</v>
      </c>
      <c r="U120" s="363">
        <v>88.748659999999987</v>
      </c>
      <c r="V120" s="347">
        <v>86.644999999999996</v>
      </c>
      <c r="W120" s="347">
        <v>86.644999999999996</v>
      </c>
      <c r="X120" s="347">
        <v>0</v>
      </c>
      <c r="Y120" s="347">
        <v>2.1036600000000001</v>
      </c>
      <c r="Z120" s="364">
        <v>35.697739999999996</v>
      </c>
      <c r="AA120" s="347">
        <v>35.181899999999999</v>
      </c>
      <c r="AB120" s="347">
        <v>0.51583999999999997</v>
      </c>
      <c r="AC120" s="347">
        <v>0</v>
      </c>
      <c r="AD120" s="351" t="s">
        <v>1454</v>
      </c>
      <c r="AE120" s="60" t="s">
        <v>1332</v>
      </c>
    </row>
    <row r="121" spans="1:31" s="305" customFormat="1" ht="14.25" customHeight="1">
      <c r="A121" s="1339" t="s">
        <v>1455</v>
      </c>
      <c r="B121" s="217" t="s">
        <v>1456</v>
      </c>
      <c r="C121" s="45" t="s">
        <v>1457</v>
      </c>
      <c r="D121" s="44" t="s">
        <v>1458</v>
      </c>
      <c r="E121" s="30" t="s">
        <v>1459</v>
      </c>
      <c r="F121" s="47">
        <v>11.6</v>
      </c>
      <c r="G121" s="47" t="s">
        <v>1019</v>
      </c>
      <c r="H121" s="33">
        <v>73400</v>
      </c>
      <c r="I121" s="85">
        <v>58400</v>
      </c>
      <c r="J121" s="34">
        <v>15000</v>
      </c>
      <c r="K121" s="91">
        <v>282</v>
      </c>
      <c r="L121" s="307">
        <v>279</v>
      </c>
      <c r="M121" s="39">
        <v>216</v>
      </c>
      <c r="N121" s="36">
        <v>63.2</v>
      </c>
      <c r="O121" s="36">
        <v>3.26</v>
      </c>
      <c r="P121" s="91">
        <v>84.4</v>
      </c>
      <c r="Q121" s="307">
        <v>84.2</v>
      </c>
      <c r="R121" s="36">
        <v>47.5</v>
      </c>
      <c r="S121" s="36">
        <v>36.700000000000003</v>
      </c>
      <c r="T121" s="36">
        <v>0.20499999999999999</v>
      </c>
      <c r="U121" s="91">
        <v>198</v>
      </c>
      <c r="V121" s="307">
        <v>195</v>
      </c>
      <c r="W121" s="36">
        <v>168</v>
      </c>
      <c r="X121" s="36">
        <v>26.5</v>
      </c>
      <c r="Y121" s="36">
        <v>3.05</v>
      </c>
      <c r="Z121" s="38">
        <v>46</v>
      </c>
      <c r="AA121" s="89">
        <v>33.299999999999997</v>
      </c>
      <c r="AB121" s="39">
        <v>12.6</v>
      </c>
      <c r="AC121" s="308">
        <v>3.28</v>
      </c>
      <c r="AD121" s="109" t="s">
        <v>1460</v>
      </c>
      <c r="AE121" s="30" t="s">
        <v>1461</v>
      </c>
    </row>
    <row r="122" spans="1:31" s="305" customFormat="1" ht="14.25" customHeight="1">
      <c r="A122" s="1339" t="s">
        <v>1462</v>
      </c>
      <c r="B122" s="217" t="s">
        <v>1463</v>
      </c>
      <c r="C122" s="45" t="s">
        <v>1464</v>
      </c>
      <c r="D122" s="44" t="s">
        <v>1465</v>
      </c>
      <c r="E122" s="30" t="s">
        <v>1466</v>
      </c>
      <c r="F122" s="47">
        <v>78</v>
      </c>
      <c r="G122" s="47" t="s">
        <v>1019</v>
      </c>
      <c r="H122" s="33">
        <v>11000</v>
      </c>
      <c r="I122" s="85">
        <v>7670</v>
      </c>
      <c r="J122" s="34">
        <v>3310</v>
      </c>
      <c r="K122" s="91">
        <v>28.4</v>
      </c>
      <c r="L122" s="307">
        <v>24.2</v>
      </c>
      <c r="M122" s="39">
        <v>24.2</v>
      </c>
      <c r="N122" s="39">
        <v>0</v>
      </c>
      <c r="O122" s="36">
        <v>4.28</v>
      </c>
      <c r="P122" s="91">
        <v>2.04</v>
      </c>
      <c r="Q122" s="307">
        <v>1.87</v>
      </c>
      <c r="R122" s="36">
        <v>1.87</v>
      </c>
      <c r="S122" s="36">
        <v>0</v>
      </c>
      <c r="T122" s="36">
        <v>0.17199999999999999</v>
      </c>
      <c r="U122" s="91">
        <v>26.4</v>
      </c>
      <c r="V122" s="307">
        <v>22.3</v>
      </c>
      <c r="W122" s="36">
        <v>22.3</v>
      </c>
      <c r="X122" s="36">
        <v>0</v>
      </c>
      <c r="Y122" s="36">
        <v>4.0999999999999996</v>
      </c>
      <c r="Z122" s="38">
        <v>5.74</v>
      </c>
      <c r="AA122" s="89">
        <v>4.75</v>
      </c>
      <c r="AB122" s="39">
        <v>0.98899999999999999</v>
      </c>
      <c r="AC122" s="308">
        <v>0</v>
      </c>
      <c r="AD122" s="109" t="s">
        <v>1467</v>
      </c>
      <c r="AE122" s="30" t="s">
        <v>1468</v>
      </c>
    </row>
    <row r="123" spans="1:31" s="305" customFormat="1" ht="14.25">
      <c r="A123" s="1339" t="s">
        <v>1469</v>
      </c>
      <c r="B123" s="217" t="s">
        <v>1470</v>
      </c>
      <c r="C123" s="45" t="s">
        <v>1471</v>
      </c>
      <c r="D123" s="45" t="s">
        <v>1472</v>
      </c>
      <c r="E123" s="30" t="s">
        <v>1473</v>
      </c>
      <c r="F123" s="47">
        <v>2.4</v>
      </c>
      <c r="G123" s="47" t="s">
        <v>1019</v>
      </c>
      <c r="H123" s="33">
        <v>31700</v>
      </c>
      <c r="I123" s="85">
        <v>25700</v>
      </c>
      <c r="J123" s="34">
        <v>6000</v>
      </c>
      <c r="K123" s="91">
        <v>79</v>
      </c>
      <c r="L123" s="307">
        <v>78.3</v>
      </c>
      <c r="M123" s="39">
        <v>69.3</v>
      </c>
      <c r="N123" s="36">
        <v>9.02</v>
      </c>
      <c r="O123" s="36">
        <v>0.68300000000000005</v>
      </c>
      <c r="P123" s="91">
        <v>3.63</v>
      </c>
      <c r="Q123" s="307">
        <v>3.6</v>
      </c>
      <c r="R123" s="36">
        <v>3.6</v>
      </c>
      <c r="S123" s="36">
        <v>0</v>
      </c>
      <c r="T123" s="36">
        <v>2.9100000000000001E-2</v>
      </c>
      <c r="U123" s="91">
        <v>75.400000000000006</v>
      </c>
      <c r="V123" s="307">
        <v>74.7</v>
      </c>
      <c r="W123" s="36">
        <v>65.7</v>
      </c>
      <c r="X123" s="36">
        <v>9.02</v>
      </c>
      <c r="Y123" s="36">
        <v>0.65400000000000003</v>
      </c>
      <c r="Z123" s="38">
        <v>22.1</v>
      </c>
      <c r="AA123" s="89">
        <v>16.600000000000001</v>
      </c>
      <c r="AB123" s="39">
        <v>5.51</v>
      </c>
      <c r="AC123" s="308">
        <v>0</v>
      </c>
      <c r="AD123" s="109" t="s">
        <v>1474</v>
      </c>
      <c r="AE123" s="30" t="s">
        <v>1475</v>
      </c>
    </row>
    <row r="124" spans="1:31" s="305" customFormat="1" ht="14.25" customHeight="1">
      <c r="A124" s="323" t="s">
        <v>1476</v>
      </c>
      <c r="B124" s="217" t="s">
        <v>1477</v>
      </c>
      <c r="C124" s="45" t="s">
        <v>1478</v>
      </c>
      <c r="D124" s="44" t="s">
        <v>1479</v>
      </c>
      <c r="E124" s="30" t="s">
        <v>1480</v>
      </c>
      <c r="F124" s="32" t="s">
        <v>1012</v>
      </c>
      <c r="G124" s="32" t="s">
        <v>1449</v>
      </c>
      <c r="H124" s="33">
        <v>246000</v>
      </c>
      <c r="I124" s="85">
        <v>230000</v>
      </c>
      <c r="J124" s="34">
        <v>16200</v>
      </c>
      <c r="K124" s="91">
        <v>631</v>
      </c>
      <c r="L124" s="307">
        <v>629</v>
      </c>
      <c r="M124" s="39">
        <v>629</v>
      </c>
      <c r="N124" s="39">
        <v>0</v>
      </c>
      <c r="O124" s="36">
        <v>2.09</v>
      </c>
      <c r="P124" s="91">
        <v>77.5</v>
      </c>
      <c r="Q124" s="307">
        <v>77.400000000000006</v>
      </c>
      <c r="R124" s="36">
        <v>77.400000000000006</v>
      </c>
      <c r="S124" s="36">
        <v>0</v>
      </c>
      <c r="T124" s="36">
        <v>0.107</v>
      </c>
      <c r="U124" s="91">
        <v>553</v>
      </c>
      <c r="V124" s="307">
        <v>551</v>
      </c>
      <c r="W124" s="36">
        <v>551</v>
      </c>
      <c r="X124" s="36">
        <v>0</v>
      </c>
      <c r="Y124" s="36">
        <v>1.98</v>
      </c>
      <c r="Z124" s="38">
        <v>132</v>
      </c>
      <c r="AA124" s="89">
        <v>117</v>
      </c>
      <c r="AB124" s="39">
        <v>14.9</v>
      </c>
      <c r="AC124" s="308">
        <v>0</v>
      </c>
      <c r="AD124" s="332" t="s">
        <v>1481</v>
      </c>
      <c r="AE124" s="30" t="s">
        <v>1482</v>
      </c>
    </row>
    <row r="125" spans="1:31" s="305" customFormat="1" ht="38.450000000000003" customHeight="1" outlineLevel="1">
      <c r="A125" s="318" t="s">
        <v>1483</v>
      </c>
      <c r="B125" s="60" t="s">
        <v>1484</v>
      </c>
      <c r="C125" s="60" t="s">
        <v>1485</v>
      </c>
      <c r="D125" s="94" t="s">
        <v>1486</v>
      </c>
      <c r="E125" s="60" t="s">
        <v>1487</v>
      </c>
      <c r="F125" s="62" t="s">
        <v>1012</v>
      </c>
      <c r="G125" s="63" t="s">
        <v>1449</v>
      </c>
      <c r="H125" s="64">
        <v>177000</v>
      </c>
      <c r="I125" s="65">
        <v>171000</v>
      </c>
      <c r="J125" s="65">
        <v>6240</v>
      </c>
      <c r="K125" s="66">
        <v>247</v>
      </c>
      <c r="L125" s="107">
        <v>247</v>
      </c>
      <c r="M125" s="107">
        <v>247</v>
      </c>
      <c r="N125" s="107">
        <v>0</v>
      </c>
      <c r="O125" s="107">
        <v>0.495</v>
      </c>
      <c r="P125" s="66">
        <v>53.9</v>
      </c>
      <c r="Q125" s="107">
        <v>53.9</v>
      </c>
      <c r="R125" s="107">
        <v>53.9</v>
      </c>
      <c r="S125" s="107">
        <v>0</v>
      </c>
      <c r="T125" s="67">
        <v>1.5599999999999999E-2</v>
      </c>
      <c r="U125" s="67">
        <v>193</v>
      </c>
      <c r="V125" s="67">
        <v>193</v>
      </c>
      <c r="W125" s="107">
        <v>193</v>
      </c>
      <c r="X125" s="107">
        <v>0</v>
      </c>
      <c r="Y125" s="67">
        <v>0.48</v>
      </c>
      <c r="Z125" s="69">
        <v>55.6</v>
      </c>
      <c r="AA125" s="68">
        <v>49.6</v>
      </c>
      <c r="AB125" s="70">
        <v>5.98</v>
      </c>
      <c r="AC125" s="321">
        <v>0</v>
      </c>
      <c r="AD125" s="60" t="s">
        <v>1488</v>
      </c>
      <c r="AE125" s="60" t="s">
        <v>1489</v>
      </c>
    </row>
    <row r="126" spans="1:31" s="325" customFormat="1" ht="14.25">
      <c r="A126" s="323" t="s">
        <v>1490</v>
      </c>
      <c r="B126" s="217" t="s">
        <v>1491</v>
      </c>
      <c r="C126" s="45" t="s">
        <v>1492</v>
      </c>
      <c r="D126" s="88" t="s">
        <v>1493</v>
      </c>
      <c r="E126" s="30" t="s">
        <v>1494</v>
      </c>
      <c r="F126" s="32" t="s">
        <v>1012</v>
      </c>
      <c r="G126" s="32" t="s">
        <v>1449</v>
      </c>
      <c r="H126" s="33">
        <v>77700</v>
      </c>
      <c r="I126" s="34">
        <v>70600</v>
      </c>
      <c r="J126" s="34">
        <v>7120</v>
      </c>
      <c r="K126" s="91">
        <v>362</v>
      </c>
      <c r="L126" s="36">
        <v>360</v>
      </c>
      <c r="M126" s="39">
        <v>264</v>
      </c>
      <c r="N126" s="39">
        <v>95.5</v>
      </c>
      <c r="O126" s="36">
        <v>2.0299999999999998</v>
      </c>
      <c r="P126" s="91">
        <v>190</v>
      </c>
      <c r="Q126" s="36">
        <v>190</v>
      </c>
      <c r="R126" s="36">
        <v>104</v>
      </c>
      <c r="S126" s="36">
        <v>85.7</v>
      </c>
      <c r="T126" s="36">
        <v>3.5700000000000003E-2</v>
      </c>
      <c r="U126" s="91">
        <v>172</v>
      </c>
      <c r="V126" s="36">
        <v>170</v>
      </c>
      <c r="W126" s="36">
        <v>160</v>
      </c>
      <c r="X126" s="36">
        <v>9.8000000000000007</v>
      </c>
      <c r="Y126" s="36">
        <v>2</v>
      </c>
      <c r="Z126" s="38">
        <v>36.200000000000003</v>
      </c>
      <c r="AA126" s="39">
        <v>30.3</v>
      </c>
      <c r="AB126" s="87">
        <v>5.89</v>
      </c>
      <c r="AC126" s="308">
        <v>7.5</v>
      </c>
      <c r="AD126" s="332" t="s">
        <v>1495</v>
      </c>
      <c r="AE126" s="30" t="s">
        <v>1496</v>
      </c>
    </row>
    <row r="127" spans="1:31" s="325" customFormat="1" ht="27" customHeight="1" outlineLevel="1">
      <c r="A127" s="365" t="s">
        <v>1497</v>
      </c>
      <c r="B127" s="692" t="s">
        <v>1498</v>
      </c>
      <c r="C127" s="60" t="s">
        <v>1499</v>
      </c>
      <c r="D127" s="61" t="s">
        <v>1500</v>
      </c>
      <c r="E127" s="60" t="s">
        <v>1501</v>
      </c>
      <c r="F127" s="63" t="s">
        <v>1012</v>
      </c>
      <c r="G127" s="63" t="s">
        <v>1449</v>
      </c>
      <c r="H127" s="64">
        <v>59300</v>
      </c>
      <c r="I127" s="65">
        <v>55400</v>
      </c>
      <c r="J127" s="65">
        <v>3960</v>
      </c>
      <c r="K127" s="366">
        <v>253</v>
      </c>
      <c r="L127" s="319">
        <v>252</v>
      </c>
      <c r="M127" s="107">
        <v>198</v>
      </c>
      <c r="N127" s="107">
        <v>54</v>
      </c>
      <c r="O127" s="107">
        <v>1.25</v>
      </c>
      <c r="P127" s="366">
        <v>114</v>
      </c>
      <c r="Q127" s="319">
        <v>114</v>
      </c>
      <c r="R127" s="107">
        <v>67.3</v>
      </c>
      <c r="S127" s="107">
        <v>47</v>
      </c>
      <c r="T127" s="107">
        <v>2.2100000000000002E-2</v>
      </c>
      <c r="U127" s="366">
        <v>139</v>
      </c>
      <c r="V127" s="319">
        <v>138</v>
      </c>
      <c r="W127" s="107">
        <v>131</v>
      </c>
      <c r="X127" s="107">
        <v>7.03</v>
      </c>
      <c r="Y127" s="107">
        <v>1.23</v>
      </c>
      <c r="Z127" s="367">
        <v>25.4</v>
      </c>
      <c r="AA127" s="107">
        <v>22</v>
      </c>
      <c r="AB127" s="67">
        <v>3.36</v>
      </c>
      <c r="AC127" s="347">
        <v>4.1100000000000003</v>
      </c>
      <c r="AD127" s="60" t="s">
        <v>1502</v>
      </c>
      <c r="AE127" s="60" t="s">
        <v>1503</v>
      </c>
    </row>
    <row r="128" spans="1:31" s="325" customFormat="1" ht="18.75" customHeight="1">
      <c r="A128" s="323" t="s">
        <v>707</v>
      </c>
      <c r="B128" s="217" t="s">
        <v>1504</v>
      </c>
      <c r="C128" s="354" t="s">
        <v>1505</v>
      </c>
      <c r="D128" s="88" t="s">
        <v>1506</v>
      </c>
      <c r="E128" s="30" t="s">
        <v>1507</v>
      </c>
      <c r="F128" s="32" t="s">
        <v>1012</v>
      </c>
      <c r="G128" s="32" t="s">
        <v>1449</v>
      </c>
      <c r="H128" s="33">
        <v>134000</v>
      </c>
      <c r="I128" s="34">
        <v>126000</v>
      </c>
      <c r="J128" s="34">
        <v>8230</v>
      </c>
      <c r="K128" s="91">
        <v>479</v>
      </c>
      <c r="L128" s="36">
        <v>477</v>
      </c>
      <c r="M128" s="39">
        <v>394</v>
      </c>
      <c r="N128" s="39">
        <v>83.6</v>
      </c>
      <c r="O128" s="36">
        <v>1.93</v>
      </c>
      <c r="P128" s="91">
        <v>179</v>
      </c>
      <c r="Q128" s="36">
        <v>179</v>
      </c>
      <c r="R128" s="36">
        <v>108</v>
      </c>
      <c r="S128" s="36">
        <v>71.400000000000006</v>
      </c>
      <c r="T128" s="36">
        <v>3.6900000000000002E-2</v>
      </c>
      <c r="U128" s="91">
        <v>300</v>
      </c>
      <c r="V128" s="36">
        <v>298</v>
      </c>
      <c r="W128" s="36">
        <v>286</v>
      </c>
      <c r="X128" s="36">
        <v>12.2</v>
      </c>
      <c r="Y128" s="36">
        <v>1.89</v>
      </c>
      <c r="Z128" s="38">
        <v>65.7</v>
      </c>
      <c r="AA128" s="39">
        <v>58.6</v>
      </c>
      <c r="AB128" s="87">
        <v>7.11</v>
      </c>
      <c r="AC128" s="308">
        <v>6.25</v>
      </c>
      <c r="AD128" s="368" t="s">
        <v>278</v>
      </c>
      <c r="AE128" s="30" t="s">
        <v>1508</v>
      </c>
    </row>
    <row r="129" spans="1:31" s="325" customFormat="1" ht="27" customHeight="1" outlineLevel="1">
      <c r="A129" s="365" t="s">
        <v>1509</v>
      </c>
      <c r="B129" s="692" t="s">
        <v>1510</v>
      </c>
      <c r="C129" s="60" t="s">
        <v>1511</v>
      </c>
      <c r="D129" s="61" t="s">
        <v>1512</v>
      </c>
      <c r="E129" s="60" t="s">
        <v>1513</v>
      </c>
      <c r="F129" s="63" t="s">
        <v>1012</v>
      </c>
      <c r="G129" s="63" t="s">
        <v>1449</v>
      </c>
      <c r="H129" s="64">
        <v>79600</v>
      </c>
      <c r="I129" s="65">
        <v>71900</v>
      </c>
      <c r="J129" s="65">
        <v>7640</v>
      </c>
      <c r="K129" s="366">
        <v>306</v>
      </c>
      <c r="L129" s="319">
        <v>304</v>
      </c>
      <c r="M129" s="107">
        <v>245</v>
      </c>
      <c r="N129" s="107">
        <v>58.8</v>
      </c>
      <c r="O129" s="107">
        <v>1.49</v>
      </c>
      <c r="P129" s="366">
        <v>113</v>
      </c>
      <c r="Q129" s="319">
        <v>113</v>
      </c>
      <c r="R129" s="107">
        <v>69.599999999999994</v>
      </c>
      <c r="S129" s="107">
        <v>43.5</v>
      </c>
      <c r="T129" s="107">
        <v>3.09E-2</v>
      </c>
      <c r="U129" s="366">
        <v>193</v>
      </c>
      <c r="V129" s="319">
        <v>191</v>
      </c>
      <c r="W129" s="107">
        <v>176</v>
      </c>
      <c r="X129" s="107">
        <v>15.3</v>
      </c>
      <c r="Y129" s="107">
        <v>1.46</v>
      </c>
      <c r="Z129" s="367">
        <v>38</v>
      </c>
      <c r="AA129" s="107">
        <v>31.1</v>
      </c>
      <c r="AB129" s="67">
        <v>6.9</v>
      </c>
      <c r="AC129" s="347">
        <v>3.81</v>
      </c>
      <c r="AD129" s="60" t="s">
        <v>1514</v>
      </c>
      <c r="AE129" s="60" t="s">
        <v>1515</v>
      </c>
    </row>
    <row r="130" spans="1:31" s="305" customFormat="1" ht="14.25">
      <c r="A130" s="323" t="s">
        <v>1516</v>
      </c>
      <c r="B130" s="217" t="s">
        <v>1517</v>
      </c>
      <c r="C130" s="45" t="s">
        <v>1518</v>
      </c>
      <c r="D130" s="44" t="s">
        <v>1519</v>
      </c>
      <c r="E130" s="30" t="s">
        <v>1520</v>
      </c>
      <c r="F130" s="47" t="s">
        <v>1012</v>
      </c>
      <c r="G130" s="32" t="s">
        <v>1449</v>
      </c>
      <c r="H130" s="33">
        <v>115000</v>
      </c>
      <c r="I130" s="85">
        <v>103000</v>
      </c>
      <c r="J130" s="34">
        <v>11800</v>
      </c>
      <c r="K130" s="91">
        <v>344</v>
      </c>
      <c r="L130" s="307">
        <v>338</v>
      </c>
      <c r="M130" s="39">
        <v>257</v>
      </c>
      <c r="N130" s="39">
        <v>81.099999999999994</v>
      </c>
      <c r="O130" s="36">
        <v>5.8</v>
      </c>
      <c r="P130" s="91">
        <v>15.6</v>
      </c>
      <c r="Q130" s="307">
        <v>15.1</v>
      </c>
      <c r="R130" s="36">
        <v>15.1</v>
      </c>
      <c r="S130" s="36">
        <v>0</v>
      </c>
      <c r="T130" s="36">
        <v>0.49399999999999999</v>
      </c>
      <c r="U130" s="91">
        <v>328</v>
      </c>
      <c r="V130" s="307">
        <v>323</v>
      </c>
      <c r="W130" s="36">
        <v>242</v>
      </c>
      <c r="X130" s="36">
        <v>81.099999999999994</v>
      </c>
      <c r="Y130" s="36">
        <v>5.31</v>
      </c>
      <c r="Z130" s="38">
        <v>63.4</v>
      </c>
      <c r="AA130" s="89">
        <v>53.2</v>
      </c>
      <c r="AB130" s="39">
        <v>10.199999999999999</v>
      </c>
      <c r="AC130" s="308">
        <v>0</v>
      </c>
      <c r="AD130" s="332" t="s">
        <v>1521</v>
      </c>
      <c r="AE130" s="30" t="s">
        <v>1522</v>
      </c>
    </row>
    <row r="131" spans="1:31" s="305" customFormat="1" ht="14.25">
      <c r="A131" s="323" t="s">
        <v>1523</v>
      </c>
      <c r="B131" s="217" t="s">
        <v>1524</v>
      </c>
      <c r="C131" s="45" t="s">
        <v>1525</v>
      </c>
      <c r="D131" s="44" t="s">
        <v>1526</v>
      </c>
      <c r="E131" s="30" t="s">
        <v>1527</v>
      </c>
      <c r="F131" s="47" t="s">
        <v>1012</v>
      </c>
      <c r="G131" s="47" t="s">
        <v>1019</v>
      </c>
      <c r="H131" s="33">
        <v>70700</v>
      </c>
      <c r="I131" s="85">
        <v>65800</v>
      </c>
      <c r="J131" s="34">
        <v>4910</v>
      </c>
      <c r="K131" s="91">
        <v>178</v>
      </c>
      <c r="L131" s="307">
        <v>175</v>
      </c>
      <c r="M131" s="39">
        <v>175</v>
      </c>
      <c r="N131" s="39">
        <v>0</v>
      </c>
      <c r="O131" s="36">
        <v>2.93</v>
      </c>
      <c r="P131" s="91">
        <v>10.5</v>
      </c>
      <c r="Q131" s="307">
        <v>10.199999999999999</v>
      </c>
      <c r="R131" s="36">
        <v>10.199999999999999</v>
      </c>
      <c r="S131" s="36">
        <v>0</v>
      </c>
      <c r="T131" s="36">
        <v>0.27700000000000002</v>
      </c>
      <c r="U131" s="91">
        <v>167</v>
      </c>
      <c r="V131" s="307">
        <v>165</v>
      </c>
      <c r="W131" s="36">
        <v>165</v>
      </c>
      <c r="X131" s="36">
        <v>0</v>
      </c>
      <c r="Y131" s="36">
        <v>2.66</v>
      </c>
      <c r="Z131" s="86">
        <v>44.3</v>
      </c>
      <c r="AA131" s="82">
        <v>40.700000000000003</v>
      </c>
      <c r="AB131" s="73">
        <v>3.6</v>
      </c>
      <c r="AC131" s="308">
        <v>0</v>
      </c>
      <c r="AD131" s="109" t="s">
        <v>1528</v>
      </c>
      <c r="AE131" s="30" t="s">
        <v>1529</v>
      </c>
    </row>
    <row r="132" spans="1:31" s="305" customFormat="1" ht="14.25">
      <c r="A132" s="1339" t="s">
        <v>1530</v>
      </c>
      <c r="B132" s="217" t="s">
        <v>1531</v>
      </c>
      <c r="C132" s="45" t="s">
        <v>1532</v>
      </c>
      <c r="D132" s="44" t="s">
        <v>1533</v>
      </c>
      <c r="E132" s="30" t="s">
        <v>1534</v>
      </c>
      <c r="F132" s="47" t="s">
        <v>1012</v>
      </c>
      <c r="G132" s="47" t="s">
        <v>1019</v>
      </c>
      <c r="H132" s="33">
        <v>78900</v>
      </c>
      <c r="I132" s="85">
        <v>74800</v>
      </c>
      <c r="J132" s="34">
        <v>4090</v>
      </c>
      <c r="K132" s="91">
        <v>208</v>
      </c>
      <c r="L132" s="307">
        <v>205</v>
      </c>
      <c r="M132" s="39">
        <v>205</v>
      </c>
      <c r="N132" s="39">
        <v>0</v>
      </c>
      <c r="O132" s="36">
        <v>2.85</v>
      </c>
      <c r="P132" s="91">
        <v>13.2</v>
      </c>
      <c r="Q132" s="307">
        <v>12.9</v>
      </c>
      <c r="R132" s="36">
        <v>12.9</v>
      </c>
      <c r="S132" s="36">
        <v>0</v>
      </c>
      <c r="T132" s="36">
        <v>0.27200000000000002</v>
      </c>
      <c r="U132" s="91">
        <v>195</v>
      </c>
      <c r="V132" s="307">
        <v>192</v>
      </c>
      <c r="W132" s="36">
        <v>192</v>
      </c>
      <c r="X132" s="36">
        <v>0</v>
      </c>
      <c r="Y132" s="36">
        <v>2.58</v>
      </c>
      <c r="Z132" s="86">
        <v>48.6</v>
      </c>
      <c r="AA132" s="82">
        <v>45.7</v>
      </c>
      <c r="AB132" s="73">
        <v>2.84</v>
      </c>
      <c r="AC132" s="308">
        <v>0</v>
      </c>
      <c r="AD132" s="109" t="s">
        <v>1535</v>
      </c>
      <c r="AE132" s="30" t="s">
        <v>1536</v>
      </c>
    </row>
    <row r="133" spans="1:31" s="305" customFormat="1" ht="14.25">
      <c r="A133" s="1339" t="s">
        <v>1537</v>
      </c>
      <c r="B133" s="217" t="s">
        <v>1538</v>
      </c>
      <c r="C133" s="45" t="s">
        <v>1539</v>
      </c>
      <c r="D133" s="88" t="s">
        <v>1526</v>
      </c>
      <c r="E133" s="30" t="s">
        <v>1527</v>
      </c>
      <c r="F133" s="47" t="s">
        <v>1012</v>
      </c>
      <c r="G133" s="47" t="s">
        <v>1019</v>
      </c>
      <c r="H133" s="33">
        <v>87000</v>
      </c>
      <c r="I133" s="85">
        <v>82100</v>
      </c>
      <c r="J133" s="34">
        <v>4910</v>
      </c>
      <c r="K133" s="91">
        <v>235</v>
      </c>
      <c r="L133" s="307">
        <v>232</v>
      </c>
      <c r="M133" s="39">
        <v>232</v>
      </c>
      <c r="N133" s="39">
        <v>0</v>
      </c>
      <c r="O133" s="36">
        <v>2.93</v>
      </c>
      <c r="P133" s="91">
        <v>18.899999999999999</v>
      </c>
      <c r="Q133" s="307">
        <v>18.7</v>
      </c>
      <c r="R133" s="36">
        <v>18.7</v>
      </c>
      <c r="S133" s="36">
        <v>0</v>
      </c>
      <c r="T133" s="36">
        <v>0.27700000000000002</v>
      </c>
      <c r="U133" s="91">
        <v>216</v>
      </c>
      <c r="V133" s="307">
        <v>214</v>
      </c>
      <c r="W133" s="36">
        <v>214</v>
      </c>
      <c r="X133" s="36">
        <v>0</v>
      </c>
      <c r="Y133" s="36">
        <v>2.66</v>
      </c>
      <c r="Z133" s="86">
        <v>52.1</v>
      </c>
      <c r="AA133" s="82">
        <v>48.5</v>
      </c>
      <c r="AB133" s="73">
        <v>3.6</v>
      </c>
      <c r="AC133" s="308">
        <v>0</v>
      </c>
      <c r="AD133" s="109" t="s">
        <v>1540</v>
      </c>
      <c r="AE133" s="30" t="s">
        <v>1529</v>
      </c>
    </row>
    <row r="134" spans="1:31" s="305" customFormat="1" ht="14.25">
      <c r="A134" s="323" t="s">
        <v>1541</v>
      </c>
      <c r="B134" s="217" t="s">
        <v>1542</v>
      </c>
      <c r="C134" s="45" t="s">
        <v>1543</v>
      </c>
      <c r="D134" s="44" t="s">
        <v>1544</v>
      </c>
      <c r="E134" s="30" t="s">
        <v>1545</v>
      </c>
      <c r="F134" s="47" t="s">
        <v>1012</v>
      </c>
      <c r="G134" s="47" t="s">
        <v>1019</v>
      </c>
      <c r="H134" s="33">
        <v>128000</v>
      </c>
      <c r="I134" s="85">
        <v>119000</v>
      </c>
      <c r="J134" s="34">
        <v>8730</v>
      </c>
      <c r="K134" s="91">
        <v>346</v>
      </c>
      <c r="L134" s="307">
        <v>341</v>
      </c>
      <c r="M134" s="39">
        <v>341</v>
      </c>
      <c r="N134" s="39">
        <v>0</v>
      </c>
      <c r="O134" s="36">
        <v>4.55</v>
      </c>
      <c r="P134" s="91">
        <v>21.7</v>
      </c>
      <c r="Q134" s="307">
        <v>21.2</v>
      </c>
      <c r="R134" s="36">
        <v>21.2</v>
      </c>
      <c r="S134" s="36">
        <v>0</v>
      </c>
      <c r="T134" s="36">
        <v>0.42399999999999999</v>
      </c>
      <c r="U134" s="91">
        <v>324</v>
      </c>
      <c r="V134" s="307">
        <v>320</v>
      </c>
      <c r="W134" s="36">
        <v>320</v>
      </c>
      <c r="X134" s="36">
        <v>0</v>
      </c>
      <c r="Y134" s="36">
        <v>4.12</v>
      </c>
      <c r="Z134" s="86">
        <v>79.3</v>
      </c>
      <c r="AA134" s="82">
        <v>72.599999999999994</v>
      </c>
      <c r="AB134" s="73">
        <v>6.68</v>
      </c>
      <c r="AC134" s="308">
        <v>0</v>
      </c>
      <c r="AD134" s="109" t="s">
        <v>1546</v>
      </c>
      <c r="AE134" s="30" t="s">
        <v>1547</v>
      </c>
    </row>
    <row r="135" spans="1:31" s="305" customFormat="1" ht="14.25">
      <c r="A135" s="1339" t="s">
        <v>1548</v>
      </c>
      <c r="B135" s="217" t="s">
        <v>1549</v>
      </c>
      <c r="C135" s="45" t="s">
        <v>1550</v>
      </c>
      <c r="D135" s="88" t="s">
        <v>1544</v>
      </c>
      <c r="E135" s="30" t="s">
        <v>1545</v>
      </c>
      <c r="F135" s="47" t="s">
        <v>1012</v>
      </c>
      <c r="G135" s="47" t="s">
        <v>1019</v>
      </c>
      <c r="H135" s="33">
        <v>144000</v>
      </c>
      <c r="I135" s="85">
        <v>136000</v>
      </c>
      <c r="J135" s="34">
        <v>8730</v>
      </c>
      <c r="K135" s="91">
        <v>403</v>
      </c>
      <c r="L135" s="307">
        <v>399</v>
      </c>
      <c r="M135" s="39">
        <v>399</v>
      </c>
      <c r="N135" s="39">
        <v>0</v>
      </c>
      <c r="O135" s="36">
        <v>4.55</v>
      </c>
      <c r="P135" s="91">
        <v>30.1</v>
      </c>
      <c r="Q135" s="307">
        <v>29.7</v>
      </c>
      <c r="R135" s="36">
        <v>29.7</v>
      </c>
      <c r="S135" s="36">
        <v>0</v>
      </c>
      <c r="T135" s="36">
        <v>0.42399999999999999</v>
      </c>
      <c r="U135" s="91">
        <v>373</v>
      </c>
      <c r="V135" s="307">
        <v>369</v>
      </c>
      <c r="W135" s="36">
        <v>369</v>
      </c>
      <c r="X135" s="36">
        <v>0</v>
      </c>
      <c r="Y135" s="36">
        <v>4.12</v>
      </c>
      <c r="Z135" s="86">
        <v>87.1</v>
      </c>
      <c r="AA135" s="82">
        <v>80.400000000000006</v>
      </c>
      <c r="AB135" s="73">
        <v>6.68</v>
      </c>
      <c r="AC135" s="308">
        <v>0</v>
      </c>
      <c r="AD135" s="109" t="s">
        <v>1551</v>
      </c>
      <c r="AE135" s="30" t="s">
        <v>1547</v>
      </c>
    </row>
    <row r="136" spans="1:31" s="305" customFormat="1" ht="14.25">
      <c r="A136" s="323" t="s">
        <v>1552</v>
      </c>
      <c r="B136" s="217" t="s">
        <v>1553</v>
      </c>
      <c r="C136" s="45" t="s">
        <v>1554</v>
      </c>
      <c r="D136" s="44" t="s">
        <v>1555</v>
      </c>
      <c r="E136" s="30" t="s">
        <v>1556</v>
      </c>
      <c r="F136" s="47" t="s">
        <v>1012</v>
      </c>
      <c r="G136" s="47" t="s">
        <v>1019</v>
      </c>
      <c r="H136" s="33">
        <v>128000</v>
      </c>
      <c r="I136" s="85">
        <v>121000</v>
      </c>
      <c r="J136" s="34">
        <v>6830</v>
      </c>
      <c r="K136" s="91">
        <v>344</v>
      </c>
      <c r="L136" s="307">
        <v>339</v>
      </c>
      <c r="M136" s="39">
        <v>339</v>
      </c>
      <c r="N136" s="39">
        <v>0</v>
      </c>
      <c r="O136" s="36">
        <v>4.3499999999999996</v>
      </c>
      <c r="P136" s="91">
        <v>23.3</v>
      </c>
      <c r="Q136" s="307">
        <v>22.9</v>
      </c>
      <c r="R136" s="36">
        <v>22.9</v>
      </c>
      <c r="S136" s="36">
        <v>0</v>
      </c>
      <c r="T136" s="36">
        <v>0.41199999999999998</v>
      </c>
      <c r="U136" s="91">
        <v>320</v>
      </c>
      <c r="V136" s="307">
        <v>316</v>
      </c>
      <c r="W136" s="36">
        <v>316</v>
      </c>
      <c r="X136" s="36">
        <v>0</v>
      </c>
      <c r="Y136" s="36">
        <v>3.93</v>
      </c>
      <c r="Z136" s="86">
        <v>78.3</v>
      </c>
      <c r="AA136" s="82">
        <v>73.400000000000006</v>
      </c>
      <c r="AB136" s="73">
        <v>4.92</v>
      </c>
      <c r="AC136" s="308">
        <v>0</v>
      </c>
      <c r="AD136" s="109" t="s">
        <v>1557</v>
      </c>
      <c r="AE136" s="30" t="s">
        <v>1558</v>
      </c>
    </row>
    <row r="137" spans="1:31" s="305" customFormat="1" ht="14.25">
      <c r="A137" s="1339" t="s">
        <v>709</v>
      </c>
      <c r="B137" s="217" t="s">
        <v>1559</v>
      </c>
      <c r="C137" s="45" t="s">
        <v>1560</v>
      </c>
      <c r="D137" s="44" t="s">
        <v>1561</v>
      </c>
      <c r="E137" s="30" t="s">
        <v>1562</v>
      </c>
      <c r="F137" s="47" t="s">
        <v>1012</v>
      </c>
      <c r="G137" s="47" t="s">
        <v>1019</v>
      </c>
      <c r="H137" s="33">
        <v>110000</v>
      </c>
      <c r="I137" s="85">
        <v>102000</v>
      </c>
      <c r="J137" s="34">
        <v>7680</v>
      </c>
      <c r="K137" s="91">
        <v>271</v>
      </c>
      <c r="L137" s="307">
        <v>267</v>
      </c>
      <c r="M137" s="39">
        <v>267</v>
      </c>
      <c r="N137" s="39">
        <v>0</v>
      </c>
      <c r="O137" s="36">
        <v>4.4400000000000004</v>
      </c>
      <c r="P137" s="91">
        <v>16.5</v>
      </c>
      <c r="Q137" s="307">
        <v>16.100000000000001</v>
      </c>
      <c r="R137" s="36">
        <v>16.100000000000001</v>
      </c>
      <c r="S137" s="36">
        <v>0</v>
      </c>
      <c r="T137" s="36">
        <v>0.41699999999999998</v>
      </c>
      <c r="U137" s="91">
        <v>255</v>
      </c>
      <c r="V137" s="307">
        <v>251</v>
      </c>
      <c r="W137" s="36">
        <v>251</v>
      </c>
      <c r="X137" s="36">
        <v>0</v>
      </c>
      <c r="Y137" s="36">
        <v>4.0199999999999996</v>
      </c>
      <c r="Z137" s="86">
        <v>67.8</v>
      </c>
      <c r="AA137" s="82">
        <v>62.1</v>
      </c>
      <c r="AB137" s="73">
        <v>5.7</v>
      </c>
      <c r="AC137" s="308">
        <v>0</v>
      </c>
      <c r="AD137" s="109" t="s">
        <v>1563</v>
      </c>
      <c r="AE137" s="30" t="s">
        <v>1564</v>
      </c>
    </row>
    <row r="138" spans="1:31" s="305" customFormat="1" ht="14.25">
      <c r="A138" s="1339" t="s">
        <v>1565</v>
      </c>
      <c r="B138" s="217" t="s">
        <v>1566</v>
      </c>
      <c r="C138" s="45" t="s">
        <v>1567</v>
      </c>
      <c r="D138" s="88" t="s">
        <v>1561</v>
      </c>
      <c r="E138" s="30" t="s">
        <v>1562</v>
      </c>
      <c r="F138" s="47" t="s">
        <v>1012</v>
      </c>
      <c r="G138" s="47" t="s">
        <v>1019</v>
      </c>
      <c r="H138" s="33">
        <v>143000</v>
      </c>
      <c r="I138" s="85">
        <v>135000</v>
      </c>
      <c r="J138" s="34">
        <v>7680</v>
      </c>
      <c r="K138" s="91">
        <v>387</v>
      </c>
      <c r="L138" s="307">
        <v>382</v>
      </c>
      <c r="M138" s="39">
        <v>382</v>
      </c>
      <c r="N138" s="39">
        <v>0</v>
      </c>
      <c r="O138" s="36">
        <v>4.4400000000000004</v>
      </c>
      <c r="P138" s="91">
        <v>33.5</v>
      </c>
      <c r="Q138" s="307">
        <v>33.1</v>
      </c>
      <c r="R138" s="36">
        <v>33.1</v>
      </c>
      <c r="S138" s="36">
        <v>0</v>
      </c>
      <c r="T138" s="36">
        <v>0.41699999999999998</v>
      </c>
      <c r="U138" s="91">
        <v>353</v>
      </c>
      <c r="V138" s="307">
        <v>349</v>
      </c>
      <c r="W138" s="36">
        <v>349</v>
      </c>
      <c r="X138" s="36">
        <v>0</v>
      </c>
      <c r="Y138" s="36">
        <v>4.0199999999999996</v>
      </c>
      <c r="Z138" s="86">
        <v>83.3</v>
      </c>
      <c r="AA138" s="82">
        <v>77.599999999999994</v>
      </c>
      <c r="AB138" s="73">
        <v>5.7</v>
      </c>
      <c r="AC138" s="308">
        <v>0</v>
      </c>
      <c r="AD138" s="109" t="s">
        <v>1568</v>
      </c>
      <c r="AE138" s="30" t="s">
        <v>1564</v>
      </c>
    </row>
    <row r="139" spans="1:31" s="305" customFormat="1" ht="12.75" customHeight="1">
      <c r="A139" s="1339" t="s">
        <v>1569</v>
      </c>
      <c r="B139" s="217" t="s">
        <v>1570</v>
      </c>
      <c r="C139" s="45" t="s">
        <v>1571</v>
      </c>
      <c r="D139" s="88" t="s">
        <v>1561</v>
      </c>
      <c r="E139" s="30" t="s">
        <v>1562</v>
      </c>
      <c r="F139" s="47" t="s">
        <v>1012</v>
      </c>
      <c r="G139" s="47" t="s">
        <v>1019</v>
      </c>
      <c r="H139" s="33">
        <v>159000</v>
      </c>
      <c r="I139" s="85">
        <v>151000</v>
      </c>
      <c r="J139" s="34">
        <v>7680</v>
      </c>
      <c r="K139" s="91">
        <v>444</v>
      </c>
      <c r="L139" s="307">
        <v>440</v>
      </c>
      <c r="M139" s="39">
        <v>440</v>
      </c>
      <c r="N139" s="39">
        <v>0</v>
      </c>
      <c r="O139" s="36">
        <v>4.4400000000000004</v>
      </c>
      <c r="P139" s="91">
        <v>41.9</v>
      </c>
      <c r="Q139" s="307">
        <v>41.5</v>
      </c>
      <c r="R139" s="36">
        <v>41.5</v>
      </c>
      <c r="S139" s="36">
        <v>0</v>
      </c>
      <c r="T139" s="36">
        <v>0.41699999999999998</v>
      </c>
      <c r="U139" s="91">
        <v>402</v>
      </c>
      <c r="V139" s="307">
        <v>398</v>
      </c>
      <c r="W139" s="36">
        <v>398</v>
      </c>
      <c r="X139" s="36">
        <v>0</v>
      </c>
      <c r="Y139" s="36">
        <v>4.0199999999999996</v>
      </c>
      <c r="Z139" s="86">
        <v>91.1</v>
      </c>
      <c r="AA139" s="82">
        <v>85.4</v>
      </c>
      <c r="AB139" s="73">
        <v>5.7</v>
      </c>
      <c r="AC139" s="308">
        <v>0</v>
      </c>
      <c r="AD139" s="109" t="s">
        <v>1572</v>
      </c>
      <c r="AE139" s="30" t="s">
        <v>1564</v>
      </c>
    </row>
    <row r="140" spans="1:31" s="305" customFormat="1" ht="14.25">
      <c r="A140" s="1339" t="s">
        <v>1573</v>
      </c>
      <c r="B140" s="217" t="s">
        <v>1574</v>
      </c>
      <c r="C140" s="45" t="s">
        <v>1575</v>
      </c>
      <c r="D140" s="44" t="s">
        <v>1576</v>
      </c>
      <c r="E140" s="30" t="s">
        <v>1577</v>
      </c>
      <c r="F140" s="47" t="s">
        <v>1012</v>
      </c>
      <c r="G140" s="47" t="s">
        <v>1019</v>
      </c>
      <c r="H140" s="33">
        <v>168000</v>
      </c>
      <c r="I140" s="85">
        <v>156000</v>
      </c>
      <c r="J140" s="34">
        <v>11500</v>
      </c>
      <c r="K140" s="91">
        <v>439</v>
      </c>
      <c r="L140" s="307">
        <v>433</v>
      </c>
      <c r="M140" s="39">
        <v>433</v>
      </c>
      <c r="N140" s="39">
        <v>0</v>
      </c>
      <c r="O140" s="36">
        <v>6.05</v>
      </c>
      <c r="P140" s="91">
        <v>27.5</v>
      </c>
      <c r="Q140" s="307">
        <v>27</v>
      </c>
      <c r="R140" s="36">
        <v>27</v>
      </c>
      <c r="S140" s="36">
        <v>0</v>
      </c>
      <c r="T140" s="36">
        <v>0.56399999999999995</v>
      </c>
      <c r="U140" s="91">
        <v>412</v>
      </c>
      <c r="V140" s="307">
        <v>406</v>
      </c>
      <c r="W140" s="36">
        <v>406</v>
      </c>
      <c r="X140" s="36">
        <v>0</v>
      </c>
      <c r="Y140" s="36">
        <v>5.48</v>
      </c>
      <c r="Z140" s="86">
        <v>103</v>
      </c>
      <c r="AA140" s="82">
        <v>94</v>
      </c>
      <c r="AB140" s="73">
        <v>8.7799999999999994</v>
      </c>
      <c r="AC140" s="308">
        <v>0</v>
      </c>
      <c r="AD140" s="109" t="s">
        <v>1578</v>
      </c>
      <c r="AE140" s="30" t="s">
        <v>1579</v>
      </c>
    </row>
    <row r="141" spans="1:31" s="305" customFormat="1" ht="14.25">
      <c r="A141" s="1339" t="s">
        <v>1580</v>
      </c>
      <c r="B141" s="217" t="s">
        <v>1581</v>
      </c>
      <c r="C141" s="45" t="s">
        <v>1582</v>
      </c>
      <c r="D141" s="88" t="s">
        <v>1576</v>
      </c>
      <c r="E141" s="30" t="s">
        <v>1577</v>
      </c>
      <c r="F141" s="47" t="s">
        <v>1012</v>
      </c>
      <c r="G141" s="47" t="s">
        <v>1019</v>
      </c>
      <c r="H141" s="33">
        <v>185000</v>
      </c>
      <c r="I141" s="85">
        <v>174000</v>
      </c>
      <c r="J141" s="34">
        <v>11500</v>
      </c>
      <c r="K141" s="91">
        <v>501</v>
      </c>
      <c r="L141" s="307">
        <v>495</v>
      </c>
      <c r="M141" s="39">
        <v>495</v>
      </c>
      <c r="N141" s="39">
        <v>0</v>
      </c>
      <c r="O141" s="36">
        <v>6.05</v>
      </c>
      <c r="P141" s="91">
        <v>36.299999999999997</v>
      </c>
      <c r="Q141" s="307">
        <v>35.700000000000003</v>
      </c>
      <c r="R141" s="36">
        <v>35.700000000000003</v>
      </c>
      <c r="S141" s="36">
        <v>0</v>
      </c>
      <c r="T141" s="36">
        <v>0.56399999999999995</v>
      </c>
      <c r="U141" s="91">
        <v>464</v>
      </c>
      <c r="V141" s="307">
        <v>459</v>
      </c>
      <c r="W141" s="36">
        <v>459</v>
      </c>
      <c r="X141" s="36">
        <v>0</v>
      </c>
      <c r="Y141" s="36">
        <v>5.48</v>
      </c>
      <c r="Z141" s="86">
        <v>111</v>
      </c>
      <c r="AA141" s="82">
        <v>103</v>
      </c>
      <c r="AB141" s="73">
        <v>8.7799999999999994</v>
      </c>
      <c r="AC141" s="308">
        <v>0</v>
      </c>
      <c r="AD141" s="109" t="s">
        <v>1583</v>
      </c>
      <c r="AE141" s="30" t="s">
        <v>1579</v>
      </c>
    </row>
    <row r="142" spans="1:31" s="305" customFormat="1" ht="14.25">
      <c r="A142" s="1339" t="s">
        <v>1584</v>
      </c>
      <c r="B142" s="217" t="s">
        <v>1585</v>
      </c>
      <c r="C142" s="45" t="s">
        <v>1586</v>
      </c>
      <c r="D142" s="44" t="s">
        <v>1587</v>
      </c>
      <c r="E142" s="30" t="s">
        <v>1588</v>
      </c>
      <c r="F142" s="369">
        <v>6.3</v>
      </c>
      <c r="G142" s="47" t="s">
        <v>1019</v>
      </c>
      <c r="H142" s="48">
        <v>16600</v>
      </c>
      <c r="I142" s="75">
        <v>16400</v>
      </c>
      <c r="J142" s="49">
        <v>268</v>
      </c>
      <c r="K142" s="50">
        <v>47.9</v>
      </c>
      <c r="L142" s="307">
        <v>47.5</v>
      </c>
      <c r="M142" s="39">
        <v>47.5</v>
      </c>
      <c r="N142" s="39">
        <v>0</v>
      </c>
      <c r="O142" s="36">
        <v>0.34499999999999997</v>
      </c>
      <c r="P142" s="50">
        <v>3.61</v>
      </c>
      <c r="Q142" s="307">
        <v>3.6</v>
      </c>
      <c r="R142" s="36">
        <v>3.6</v>
      </c>
      <c r="S142" s="36">
        <v>0</v>
      </c>
      <c r="T142" s="36">
        <v>1.3899999999999999E-2</v>
      </c>
      <c r="U142" s="50">
        <v>44.3</v>
      </c>
      <c r="V142" s="307">
        <v>44</v>
      </c>
      <c r="W142" s="36">
        <v>44</v>
      </c>
      <c r="X142" s="36">
        <v>0</v>
      </c>
      <c r="Y142" s="36">
        <v>0.33100000000000002</v>
      </c>
      <c r="Z142" s="51">
        <v>8.11</v>
      </c>
      <c r="AA142" s="80">
        <v>8.0299999999999994</v>
      </c>
      <c r="AB142" s="53">
        <v>7.9899999999999999E-2</v>
      </c>
      <c r="AC142" s="308">
        <v>0</v>
      </c>
      <c r="AD142" s="109" t="s">
        <v>1589</v>
      </c>
      <c r="AE142" s="30" t="s">
        <v>1590</v>
      </c>
    </row>
    <row r="143" spans="1:31" s="305" customFormat="1" ht="14.25">
      <c r="A143" s="1339" t="s">
        <v>1591</v>
      </c>
      <c r="B143" s="217" t="s">
        <v>1592</v>
      </c>
      <c r="C143" s="45" t="s">
        <v>1593</v>
      </c>
      <c r="D143" s="44" t="s">
        <v>1594</v>
      </c>
      <c r="E143" s="30" t="s">
        <v>1595</v>
      </c>
      <c r="F143" s="369">
        <v>14.4</v>
      </c>
      <c r="G143" s="47" t="s">
        <v>1019</v>
      </c>
      <c r="H143" s="48">
        <v>9910</v>
      </c>
      <c r="I143" s="75">
        <v>9300</v>
      </c>
      <c r="J143" s="49">
        <v>612</v>
      </c>
      <c r="K143" s="50">
        <v>21.5</v>
      </c>
      <c r="L143" s="307">
        <v>20.7</v>
      </c>
      <c r="M143" s="39">
        <v>20.7</v>
      </c>
      <c r="N143" s="39">
        <v>0</v>
      </c>
      <c r="O143" s="36">
        <v>0.78900000000000003</v>
      </c>
      <c r="P143" s="50">
        <v>2.44</v>
      </c>
      <c r="Q143" s="307">
        <v>2.41</v>
      </c>
      <c r="R143" s="36">
        <v>2.41</v>
      </c>
      <c r="S143" s="36">
        <v>0</v>
      </c>
      <c r="T143" s="36">
        <v>3.1800000000000002E-2</v>
      </c>
      <c r="U143" s="50">
        <v>19.100000000000001</v>
      </c>
      <c r="V143" s="307">
        <v>18.3</v>
      </c>
      <c r="W143" s="36">
        <v>18.3</v>
      </c>
      <c r="X143" s="36">
        <v>0</v>
      </c>
      <c r="Y143" s="36">
        <v>0.75700000000000001</v>
      </c>
      <c r="Z143" s="51">
        <v>6.31</v>
      </c>
      <c r="AA143" s="80">
        <v>6.12</v>
      </c>
      <c r="AB143" s="53">
        <v>0.183</v>
      </c>
      <c r="AC143" s="308">
        <v>0</v>
      </c>
      <c r="AD143" s="109" t="s">
        <v>1596</v>
      </c>
      <c r="AE143" s="30" t="s">
        <v>1597</v>
      </c>
    </row>
    <row r="144" spans="1:31" s="325" customFormat="1" ht="14.25">
      <c r="A144" s="331" t="s">
        <v>1598</v>
      </c>
      <c r="B144" s="217" t="s">
        <v>1599</v>
      </c>
      <c r="C144" s="217" t="s">
        <v>1600</v>
      </c>
      <c r="D144" s="88" t="s">
        <v>1601</v>
      </c>
      <c r="E144" s="30" t="s">
        <v>1602</v>
      </c>
      <c r="F144" s="92">
        <v>15</v>
      </c>
      <c r="G144" s="32" t="s">
        <v>1449</v>
      </c>
      <c r="H144" s="48">
        <v>99700</v>
      </c>
      <c r="I144" s="49">
        <v>66500</v>
      </c>
      <c r="J144" s="49">
        <v>33300</v>
      </c>
      <c r="K144" s="50">
        <v>348</v>
      </c>
      <c r="L144" s="36">
        <v>335</v>
      </c>
      <c r="M144" s="39">
        <v>239</v>
      </c>
      <c r="N144" s="39">
        <v>95.5</v>
      </c>
      <c r="O144" s="36">
        <v>13.5</v>
      </c>
      <c r="P144" s="50">
        <v>42</v>
      </c>
      <c r="Q144" s="36">
        <v>41</v>
      </c>
      <c r="R144" s="36">
        <v>33.1</v>
      </c>
      <c r="S144" s="36">
        <v>7.87</v>
      </c>
      <c r="T144" s="36">
        <v>1.06</v>
      </c>
      <c r="U144" s="50">
        <v>306</v>
      </c>
      <c r="V144" s="36">
        <v>294</v>
      </c>
      <c r="W144" s="36">
        <v>206</v>
      </c>
      <c r="X144" s="36">
        <v>87.6</v>
      </c>
      <c r="Y144" s="36">
        <v>12.5</v>
      </c>
      <c r="Z144" s="51">
        <v>69.7</v>
      </c>
      <c r="AA144" s="53">
        <v>39.5</v>
      </c>
      <c r="AB144" s="53">
        <v>30.1</v>
      </c>
      <c r="AC144" s="308">
        <v>0.77800000000000002</v>
      </c>
      <c r="AD144" s="332" t="s">
        <v>1603</v>
      </c>
      <c r="AE144" s="30" t="s">
        <v>1604</v>
      </c>
    </row>
    <row r="145" spans="1:31" s="325" customFormat="1" ht="14.25">
      <c r="A145" s="331" t="s">
        <v>1605</v>
      </c>
      <c r="B145" s="217" t="s">
        <v>1606</v>
      </c>
      <c r="C145" s="217" t="s">
        <v>1607</v>
      </c>
      <c r="D145" s="88" t="s">
        <v>1608</v>
      </c>
      <c r="E145" s="30" t="s">
        <v>1609</v>
      </c>
      <c r="F145" s="92">
        <v>17.8</v>
      </c>
      <c r="G145" s="32" t="s">
        <v>1449</v>
      </c>
      <c r="H145" s="48">
        <v>43500</v>
      </c>
      <c r="I145" s="49">
        <v>35900</v>
      </c>
      <c r="J145" s="49">
        <v>7590</v>
      </c>
      <c r="K145" s="50">
        <v>219</v>
      </c>
      <c r="L145" s="36">
        <v>215</v>
      </c>
      <c r="M145" s="39">
        <v>127</v>
      </c>
      <c r="N145" s="39">
        <v>87.9</v>
      </c>
      <c r="O145" s="36">
        <v>3.65</v>
      </c>
      <c r="P145" s="50">
        <v>94.5</v>
      </c>
      <c r="Q145" s="36">
        <v>94.4</v>
      </c>
      <c r="R145" s="36">
        <v>35.200000000000003</v>
      </c>
      <c r="S145" s="36">
        <v>59.2</v>
      </c>
      <c r="T145" s="36">
        <v>0.123</v>
      </c>
      <c r="U145" s="50">
        <v>124</v>
      </c>
      <c r="V145" s="36">
        <v>121</v>
      </c>
      <c r="W145" s="36">
        <v>91.9</v>
      </c>
      <c r="X145" s="36">
        <v>28.8</v>
      </c>
      <c r="Y145" s="36">
        <v>3.52</v>
      </c>
      <c r="Z145" s="51">
        <v>26.1</v>
      </c>
      <c r="AA145" s="53">
        <v>19.5</v>
      </c>
      <c r="AB145" s="53">
        <v>6.59</v>
      </c>
      <c r="AC145" s="308">
        <v>6.68</v>
      </c>
      <c r="AD145" s="332" t="s">
        <v>1610</v>
      </c>
      <c r="AE145" s="30" t="s">
        <v>1611</v>
      </c>
    </row>
    <row r="146" spans="1:31" s="305" customFormat="1" ht="14.25" customHeight="1">
      <c r="A146" s="1339" t="s">
        <v>717</v>
      </c>
      <c r="B146" s="217" t="s">
        <v>1612</v>
      </c>
      <c r="C146" s="45" t="s">
        <v>1613</v>
      </c>
      <c r="D146" s="44" t="s">
        <v>1614</v>
      </c>
      <c r="E146" s="30" t="s">
        <v>1615</v>
      </c>
      <c r="F146" s="47" t="s">
        <v>1012</v>
      </c>
      <c r="G146" s="47" t="s">
        <v>1019</v>
      </c>
      <c r="H146" s="33">
        <v>150000</v>
      </c>
      <c r="I146" s="85">
        <v>148000</v>
      </c>
      <c r="J146" s="34">
        <v>2110</v>
      </c>
      <c r="K146" s="91">
        <v>319</v>
      </c>
      <c r="L146" s="307">
        <v>318</v>
      </c>
      <c r="M146" s="39">
        <v>314</v>
      </c>
      <c r="N146" s="36">
        <v>4.13</v>
      </c>
      <c r="O146" s="36">
        <v>0.57099999999999995</v>
      </c>
      <c r="P146" s="91">
        <v>35.9</v>
      </c>
      <c r="Q146" s="307">
        <v>35.9</v>
      </c>
      <c r="R146" s="36">
        <v>35.9</v>
      </c>
      <c r="S146" s="36">
        <v>0</v>
      </c>
      <c r="T146" s="36">
        <v>2.9600000000000001E-2</v>
      </c>
      <c r="U146" s="91">
        <v>283</v>
      </c>
      <c r="V146" s="307">
        <v>282</v>
      </c>
      <c r="W146" s="36">
        <v>278</v>
      </c>
      <c r="X146" s="36">
        <v>4.13</v>
      </c>
      <c r="Y146" s="36">
        <v>0.54200000000000004</v>
      </c>
      <c r="Z146" s="38">
        <v>67.8</v>
      </c>
      <c r="AA146" s="89">
        <v>65.900000000000006</v>
      </c>
      <c r="AB146" s="39">
        <v>1.91</v>
      </c>
      <c r="AC146" s="308">
        <v>0</v>
      </c>
      <c r="AD146" s="109" t="s">
        <v>1616</v>
      </c>
      <c r="AE146" s="30" t="s">
        <v>1617</v>
      </c>
    </row>
    <row r="147" spans="1:31" s="305" customFormat="1" ht="14.25" customHeight="1">
      <c r="A147" s="1339" t="s">
        <v>711</v>
      </c>
      <c r="B147" s="217" t="s">
        <v>1618</v>
      </c>
      <c r="C147" s="45" t="s">
        <v>1619</v>
      </c>
      <c r="D147" s="44" t="s">
        <v>1620</v>
      </c>
      <c r="E147" s="30" t="s">
        <v>1621</v>
      </c>
      <c r="F147" s="47" t="s">
        <v>1012</v>
      </c>
      <c r="G147" s="47" t="s">
        <v>1019</v>
      </c>
      <c r="H147" s="33">
        <v>133000</v>
      </c>
      <c r="I147" s="85">
        <v>131000</v>
      </c>
      <c r="J147" s="34">
        <v>1620</v>
      </c>
      <c r="K147" s="91">
        <v>281</v>
      </c>
      <c r="L147" s="307">
        <v>281</v>
      </c>
      <c r="M147" s="39">
        <v>281</v>
      </c>
      <c r="N147" s="39">
        <v>0</v>
      </c>
      <c r="O147" s="36">
        <v>0.45900000000000002</v>
      </c>
      <c r="P147" s="91">
        <v>32.299999999999997</v>
      </c>
      <c r="Q147" s="307">
        <v>32.200000000000003</v>
      </c>
      <c r="R147" s="36">
        <v>32.200000000000003</v>
      </c>
      <c r="S147" s="36">
        <v>0</v>
      </c>
      <c r="T147" s="36">
        <v>2.5899999999999999E-2</v>
      </c>
      <c r="U147" s="91">
        <v>249</v>
      </c>
      <c r="V147" s="307">
        <v>248</v>
      </c>
      <c r="W147" s="36">
        <v>248</v>
      </c>
      <c r="X147" s="36">
        <v>0</v>
      </c>
      <c r="Y147" s="36">
        <v>0.434</v>
      </c>
      <c r="Z147" s="38">
        <v>59.9</v>
      </c>
      <c r="AA147" s="89">
        <v>58.5</v>
      </c>
      <c r="AB147" s="39">
        <v>1.47</v>
      </c>
      <c r="AC147" s="308">
        <v>0</v>
      </c>
      <c r="AD147" s="109" t="s">
        <v>1622</v>
      </c>
      <c r="AE147" s="30" t="s">
        <v>1623</v>
      </c>
    </row>
    <row r="148" spans="1:31" s="305" customFormat="1" ht="14.25" customHeight="1">
      <c r="A148" s="1339" t="s">
        <v>1624</v>
      </c>
      <c r="B148" s="217" t="s">
        <v>1625</v>
      </c>
      <c r="C148" s="45" t="s">
        <v>1626</v>
      </c>
      <c r="D148" s="44" t="s">
        <v>1627</v>
      </c>
      <c r="E148" s="30" t="s">
        <v>1628</v>
      </c>
      <c r="F148" s="47" t="s">
        <v>1012</v>
      </c>
      <c r="G148" s="47" t="s">
        <v>1019</v>
      </c>
      <c r="H148" s="33">
        <v>168000</v>
      </c>
      <c r="I148" s="85">
        <v>167000</v>
      </c>
      <c r="J148" s="34">
        <v>800</v>
      </c>
      <c r="K148" s="91">
        <v>358</v>
      </c>
      <c r="L148" s="307">
        <v>357</v>
      </c>
      <c r="M148" s="39">
        <v>357</v>
      </c>
      <c r="N148" s="39">
        <v>0</v>
      </c>
      <c r="O148" s="36">
        <v>0.42799999999999999</v>
      </c>
      <c r="P148" s="91">
        <v>44.3</v>
      </c>
      <c r="Q148" s="307">
        <v>44.3</v>
      </c>
      <c r="R148" s="36">
        <v>44.3</v>
      </c>
      <c r="S148" s="36">
        <v>0</v>
      </c>
      <c r="T148" s="36">
        <v>2.1999999999999999E-2</v>
      </c>
      <c r="U148" s="91">
        <v>313</v>
      </c>
      <c r="V148" s="307">
        <v>313</v>
      </c>
      <c r="W148" s="36">
        <v>313</v>
      </c>
      <c r="X148" s="36">
        <v>0</v>
      </c>
      <c r="Y148" s="36">
        <v>0.40600000000000003</v>
      </c>
      <c r="Z148" s="38">
        <v>74.7</v>
      </c>
      <c r="AA148" s="89">
        <v>74</v>
      </c>
      <c r="AB148" s="39">
        <v>0.69399999999999995</v>
      </c>
      <c r="AC148" s="308">
        <v>0</v>
      </c>
      <c r="AD148" s="109" t="s">
        <v>1629</v>
      </c>
      <c r="AE148" s="30" t="s">
        <v>1630</v>
      </c>
    </row>
    <row r="149" spans="1:31" s="305" customFormat="1" ht="92.25" customHeight="1">
      <c r="A149" s="1964" t="s">
        <v>1631</v>
      </c>
      <c r="B149" s="1965"/>
      <c r="C149" s="1965"/>
      <c r="D149" s="1965"/>
      <c r="E149" s="1965"/>
      <c r="F149" s="1965"/>
      <c r="G149" s="1965"/>
      <c r="H149" s="1965"/>
      <c r="I149" s="1965"/>
      <c r="J149" s="1965"/>
      <c r="K149" s="1965"/>
      <c r="L149" s="1965"/>
      <c r="M149" s="1965"/>
      <c r="N149" s="1965"/>
      <c r="O149" s="1965"/>
      <c r="P149" s="1965"/>
      <c r="Q149" s="1965"/>
      <c r="R149" s="1965"/>
      <c r="S149" s="1965"/>
      <c r="T149" s="1965"/>
      <c r="U149" s="1965"/>
      <c r="V149" s="1965"/>
      <c r="W149" s="1965"/>
      <c r="X149" s="1965"/>
      <c r="Y149" s="1965"/>
      <c r="Z149" s="1965"/>
      <c r="AA149" s="1965"/>
      <c r="AB149" s="1965"/>
      <c r="AC149" s="1965"/>
      <c r="AD149" s="1965"/>
      <c r="AE149" s="1965"/>
    </row>
    <row r="150" spans="1:31" s="305" customFormat="1" ht="12.75" customHeight="1">
      <c r="A150" s="1955" t="s">
        <v>1632</v>
      </c>
      <c r="B150" s="1956"/>
      <c r="C150" s="1956"/>
      <c r="D150" s="1956"/>
      <c r="E150" s="1956"/>
      <c r="F150" s="1956"/>
      <c r="G150" s="1956"/>
      <c r="H150" s="1956"/>
      <c r="I150" s="1956"/>
      <c r="J150" s="1956"/>
      <c r="K150" s="1956"/>
      <c r="L150" s="1956"/>
      <c r="M150" s="1956"/>
      <c r="N150" s="1956"/>
      <c r="O150" s="1956"/>
      <c r="P150" s="1956"/>
      <c r="Q150" s="1956"/>
      <c r="R150" s="1956"/>
      <c r="S150" s="1956"/>
      <c r="T150" s="1956"/>
      <c r="U150" s="1956"/>
      <c r="V150" s="1956"/>
      <c r="W150" s="1956"/>
      <c r="X150" s="1956"/>
      <c r="Y150" s="1956"/>
      <c r="Z150" s="1956"/>
      <c r="AA150" s="1956"/>
      <c r="AB150" s="1956"/>
      <c r="AC150" s="1956"/>
      <c r="AD150" s="1956"/>
      <c r="AE150" s="1957"/>
    </row>
    <row r="151" spans="1:31" s="305" customFormat="1" ht="14.25" customHeight="1">
      <c r="A151" s="1961" t="s">
        <v>1633</v>
      </c>
      <c r="B151" s="1966"/>
      <c r="C151" s="1966"/>
      <c r="D151" s="1966"/>
      <c r="E151" s="1966"/>
      <c r="F151" s="1966"/>
      <c r="G151" s="1966"/>
      <c r="H151" s="1966"/>
      <c r="I151" s="1966"/>
      <c r="J151" s="1966"/>
      <c r="K151" s="1966"/>
      <c r="L151" s="1966"/>
      <c r="M151" s="1966"/>
      <c r="N151" s="1966"/>
      <c r="O151" s="1966"/>
      <c r="P151" s="1966"/>
      <c r="Q151" s="1966"/>
      <c r="R151" s="1966"/>
      <c r="S151" s="1966"/>
      <c r="T151" s="1966"/>
      <c r="U151" s="1966"/>
      <c r="V151" s="1966"/>
      <c r="W151" s="1966"/>
      <c r="X151" s="1966"/>
      <c r="Y151" s="1966"/>
      <c r="Z151" s="1966"/>
      <c r="AA151" s="1966"/>
      <c r="AB151" s="1966"/>
      <c r="AC151" s="1966"/>
      <c r="AD151" s="1966"/>
      <c r="AE151" s="1967"/>
    </row>
    <row r="152" spans="1:31" s="305" customFormat="1" ht="14.25">
      <c r="A152" s="298" t="s">
        <v>1634</v>
      </c>
      <c r="B152" s="298"/>
      <c r="C152" s="41" t="s">
        <v>1635</v>
      </c>
      <c r="D152" s="40"/>
      <c r="E152" s="41"/>
      <c r="F152" s="42" t="s">
        <v>1173</v>
      </c>
      <c r="G152" s="43"/>
      <c r="H152" s="370"/>
      <c r="I152" s="370"/>
      <c r="J152" s="370"/>
      <c r="K152" s="370"/>
      <c r="L152" s="371"/>
      <c r="M152" s="371"/>
      <c r="N152" s="371"/>
      <c r="O152" s="370"/>
      <c r="P152" s="370"/>
      <c r="Q152" s="371"/>
      <c r="R152" s="371"/>
      <c r="S152" s="371"/>
      <c r="T152" s="370"/>
      <c r="U152" s="303"/>
      <c r="V152" s="301"/>
      <c r="W152" s="301"/>
      <c r="X152" s="301"/>
      <c r="Y152" s="301"/>
      <c r="Z152" s="299"/>
      <c r="AA152" s="299"/>
      <c r="AB152" s="299"/>
      <c r="AC152" s="299"/>
      <c r="AD152" s="304" t="s">
        <v>1636</v>
      </c>
      <c r="AE152" s="41"/>
    </row>
    <row r="153" spans="1:31" s="305" customFormat="1">
      <c r="A153" s="323" t="s">
        <v>1637</v>
      </c>
      <c r="B153" s="217" t="s">
        <v>1638</v>
      </c>
      <c r="C153" s="45" t="s">
        <v>1639</v>
      </c>
      <c r="D153" s="88" t="s">
        <v>1640</v>
      </c>
      <c r="E153" s="30" t="s">
        <v>1641</v>
      </c>
      <c r="F153" s="71">
        <v>2690</v>
      </c>
      <c r="G153" s="47" t="s">
        <v>268</v>
      </c>
      <c r="H153" s="33">
        <v>12500</v>
      </c>
      <c r="I153" s="85">
        <v>12500</v>
      </c>
      <c r="J153" s="93">
        <v>19.8</v>
      </c>
      <c r="K153" s="38">
        <v>30</v>
      </c>
      <c r="L153" s="307">
        <v>30</v>
      </c>
      <c r="M153" s="39">
        <v>30</v>
      </c>
      <c r="N153" s="39">
        <v>0</v>
      </c>
      <c r="O153" s="36">
        <v>3.2199999999999999E-2</v>
      </c>
      <c r="P153" s="38">
        <v>5.23</v>
      </c>
      <c r="Q153" s="307">
        <v>5.23</v>
      </c>
      <c r="R153" s="36">
        <v>5.23</v>
      </c>
      <c r="S153" s="36">
        <v>0</v>
      </c>
      <c r="T153" s="36">
        <v>7.8799999999999996E-4</v>
      </c>
      <c r="U153" s="38">
        <v>24.8</v>
      </c>
      <c r="V153" s="307">
        <v>24.8</v>
      </c>
      <c r="W153" s="36">
        <v>24.8</v>
      </c>
      <c r="X153" s="36">
        <v>0</v>
      </c>
      <c r="Y153" s="36">
        <v>3.1399999999999997E-2</v>
      </c>
      <c r="Z153" s="72">
        <v>5.58</v>
      </c>
      <c r="AA153" s="77">
        <v>5.57</v>
      </c>
      <c r="AB153" s="32">
        <v>7.92E-3</v>
      </c>
      <c r="AC153" s="308">
        <v>0</v>
      </c>
      <c r="AD153" s="109" t="s">
        <v>1642</v>
      </c>
      <c r="AE153" s="30" t="s">
        <v>1643</v>
      </c>
    </row>
    <row r="154" spans="1:31" s="305" customFormat="1">
      <c r="A154" s="323" t="s">
        <v>671</v>
      </c>
      <c r="B154" s="217" t="s">
        <v>1644</v>
      </c>
      <c r="C154" s="45" t="s">
        <v>1645</v>
      </c>
      <c r="D154" s="88" t="s">
        <v>1640</v>
      </c>
      <c r="E154" s="30" t="s">
        <v>1641</v>
      </c>
      <c r="F154" s="71">
        <v>2690</v>
      </c>
      <c r="G154" s="47" t="s">
        <v>268</v>
      </c>
      <c r="H154" s="33">
        <v>11500</v>
      </c>
      <c r="I154" s="85">
        <v>11400</v>
      </c>
      <c r="J154" s="93">
        <v>19.8</v>
      </c>
      <c r="K154" s="38">
        <v>30.9</v>
      </c>
      <c r="L154" s="307">
        <v>30.8</v>
      </c>
      <c r="M154" s="39">
        <v>30.8</v>
      </c>
      <c r="N154" s="39">
        <v>0</v>
      </c>
      <c r="O154" s="36">
        <v>3.2199999999999999E-2</v>
      </c>
      <c r="P154" s="38">
        <v>5.27</v>
      </c>
      <c r="Q154" s="307">
        <v>5.26</v>
      </c>
      <c r="R154" s="36">
        <v>5.26</v>
      </c>
      <c r="S154" s="36">
        <v>0</v>
      </c>
      <c r="T154" s="36">
        <v>7.8799999999999996E-4</v>
      </c>
      <c r="U154" s="38">
        <v>25.6</v>
      </c>
      <c r="V154" s="307">
        <v>25.6</v>
      </c>
      <c r="W154" s="36">
        <v>25.6</v>
      </c>
      <c r="X154" s="36">
        <v>0</v>
      </c>
      <c r="Y154" s="36">
        <v>3.1399999999999997E-2</v>
      </c>
      <c r="Z154" s="72">
        <v>5.7</v>
      </c>
      <c r="AA154" s="77">
        <v>5.69</v>
      </c>
      <c r="AB154" s="32">
        <v>7.92E-3</v>
      </c>
      <c r="AC154" s="308">
        <v>0</v>
      </c>
      <c r="AD154" s="109" t="s">
        <v>1646</v>
      </c>
      <c r="AE154" s="30" t="s">
        <v>1643</v>
      </c>
    </row>
    <row r="155" spans="1:31" s="305" customFormat="1" ht="25.5" customHeight="1" outlineLevel="1">
      <c r="A155" s="318" t="s">
        <v>1647</v>
      </c>
      <c r="B155" s="60" t="s">
        <v>1648</v>
      </c>
      <c r="C155" s="60" t="s">
        <v>1649</v>
      </c>
      <c r="D155" s="61" t="s">
        <v>1640</v>
      </c>
      <c r="E155" s="60" t="s">
        <v>1641</v>
      </c>
      <c r="F155" s="96">
        <v>2690</v>
      </c>
      <c r="G155" s="97" t="s">
        <v>268</v>
      </c>
      <c r="H155" s="64">
        <v>12700</v>
      </c>
      <c r="I155" s="65">
        <v>12700</v>
      </c>
      <c r="J155" s="65">
        <v>19.8</v>
      </c>
      <c r="K155" s="66">
        <v>13.1</v>
      </c>
      <c r="L155" s="107">
        <v>13.1</v>
      </c>
      <c r="M155" s="107">
        <v>13.1</v>
      </c>
      <c r="N155" s="107">
        <v>0</v>
      </c>
      <c r="O155" s="107">
        <v>3.2199999999999999E-2</v>
      </c>
      <c r="P155" s="66">
        <v>4.26</v>
      </c>
      <c r="Q155" s="107">
        <v>4.26</v>
      </c>
      <c r="R155" s="107">
        <v>4.26</v>
      </c>
      <c r="S155" s="107">
        <v>0</v>
      </c>
      <c r="T155" s="107">
        <v>7.8799999999999996E-4</v>
      </c>
      <c r="U155" s="66">
        <v>8.8800000000000008</v>
      </c>
      <c r="V155" s="107">
        <v>8.85</v>
      </c>
      <c r="W155" s="107">
        <v>8.85</v>
      </c>
      <c r="X155" s="107">
        <v>0</v>
      </c>
      <c r="Y155" s="107">
        <v>3.1399999999999997E-2</v>
      </c>
      <c r="Z155" s="69">
        <v>2.67</v>
      </c>
      <c r="AA155" s="68">
        <v>2.66</v>
      </c>
      <c r="AB155" s="70">
        <v>7.92E-3</v>
      </c>
      <c r="AC155" s="321">
        <v>0</v>
      </c>
      <c r="AD155" s="60" t="s">
        <v>1650</v>
      </c>
      <c r="AE155" s="60" t="s">
        <v>1643</v>
      </c>
    </row>
    <row r="156" spans="1:31" s="305" customFormat="1">
      <c r="A156" s="1339" t="s">
        <v>572</v>
      </c>
      <c r="B156" s="217" t="s">
        <v>1651</v>
      </c>
      <c r="C156" s="45" t="s">
        <v>1652</v>
      </c>
      <c r="D156" s="88" t="s">
        <v>1653</v>
      </c>
      <c r="E156" s="30" t="s">
        <v>1654</v>
      </c>
      <c r="F156" s="71">
        <v>7850</v>
      </c>
      <c r="G156" s="47" t="s">
        <v>268</v>
      </c>
      <c r="H156" s="33">
        <v>1590</v>
      </c>
      <c r="I156" s="34">
        <v>1570</v>
      </c>
      <c r="J156" s="93">
        <v>19.5</v>
      </c>
      <c r="K156" s="86">
        <v>3.8</v>
      </c>
      <c r="L156" s="36">
        <v>3.75</v>
      </c>
      <c r="M156" s="39">
        <v>3.75</v>
      </c>
      <c r="N156" s="39">
        <v>0</v>
      </c>
      <c r="O156" s="36">
        <v>5.2600000000000001E-2</v>
      </c>
      <c r="P156" s="86">
        <v>0.36199999999999999</v>
      </c>
      <c r="Q156" s="36">
        <v>0.36</v>
      </c>
      <c r="R156" s="36">
        <v>0.36</v>
      </c>
      <c r="S156" s="36">
        <v>0</v>
      </c>
      <c r="T156" s="36">
        <v>2.0200000000000001E-3</v>
      </c>
      <c r="U156" s="86">
        <v>3.44</v>
      </c>
      <c r="V156" s="36">
        <v>3.39</v>
      </c>
      <c r="W156" s="36">
        <v>3.39</v>
      </c>
      <c r="X156" s="36">
        <v>0</v>
      </c>
      <c r="Y156" s="36">
        <v>5.0500000000000003E-2</v>
      </c>
      <c r="Z156" s="50">
        <v>0.78500000000000003</v>
      </c>
      <c r="AA156" s="31">
        <v>0.77300000000000002</v>
      </c>
      <c r="AB156" s="32">
        <v>1.2200000000000001E-2</v>
      </c>
      <c r="AC156" s="308">
        <v>0</v>
      </c>
      <c r="AD156" s="109" t="s">
        <v>1655</v>
      </c>
      <c r="AE156" s="30" t="s">
        <v>1656</v>
      </c>
    </row>
    <row r="157" spans="1:31" s="313" customFormat="1" outlineLevel="1">
      <c r="A157" s="1218" t="s">
        <v>3897</v>
      </c>
      <c r="B157" s="692" t="s">
        <v>3898</v>
      </c>
      <c r="C157" s="60" t="s">
        <v>3899</v>
      </c>
      <c r="D157" s="1219" t="s">
        <v>1653</v>
      </c>
      <c r="E157" s="60" t="s">
        <v>1654</v>
      </c>
      <c r="F157" s="62">
        <v>7850</v>
      </c>
      <c r="G157" s="63" t="s">
        <v>268</v>
      </c>
      <c r="H157" s="1220">
        <v>1110</v>
      </c>
      <c r="I157" s="105">
        <v>1090</v>
      </c>
      <c r="J157" s="105">
        <v>19.5</v>
      </c>
      <c r="K157" s="111">
        <v>3.05</v>
      </c>
      <c r="L157" s="107">
        <v>3</v>
      </c>
      <c r="M157" s="107">
        <v>3</v>
      </c>
      <c r="N157" s="107">
        <v>0</v>
      </c>
      <c r="O157" s="107">
        <v>5.2499999999999998E-2</v>
      </c>
      <c r="P157" s="111">
        <v>0.39300000000000002</v>
      </c>
      <c r="Q157" s="107">
        <v>0.39100000000000001</v>
      </c>
      <c r="R157" s="107">
        <v>0.39100000000000001</v>
      </c>
      <c r="S157" s="107">
        <v>0</v>
      </c>
      <c r="T157" s="107">
        <v>2.0200000000000001E-3</v>
      </c>
      <c r="U157" s="111">
        <v>2.66</v>
      </c>
      <c r="V157" s="107">
        <v>2.61</v>
      </c>
      <c r="W157" s="107">
        <v>2.61</v>
      </c>
      <c r="X157" s="107">
        <v>0</v>
      </c>
      <c r="Y157" s="107">
        <v>5.0500000000000003E-2</v>
      </c>
      <c r="Z157" s="1221">
        <v>0.48199999999999998</v>
      </c>
      <c r="AA157" s="106">
        <v>0.47</v>
      </c>
      <c r="AB157" s="106">
        <v>1.2200000000000001E-2</v>
      </c>
      <c r="AC157" s="347">
        <v>0</v>
      </c>
      <c r="AD157" s="60" t="s">
        <v>3900</v>
      </c>
      <c r="AE157" s="60" t="s">
        <v>3901</v>
      </c>
    </row>
    <row r="158" spans="1:31" s="305" customFormat="1">
      <c r="A158" s="323" t="s">
        <v>1657</v>
      </c>
      <c r="B158" s="217" t="s">
        <v>1658</v>
      </c>
      <c r="C158" s="45" t="s">
        <v>1659</v>
      </c>
      <c r="D158" s="88" t="s">
        <v>1640</v>
      </c>
      <c r="E158" s="30" t="s">
        <v>1641</v>
      </c>
      <c r="F158" s="71">
        <v>11340</v>
      </c>
      <c r="G158" s="47" t="s">
        <v>268</v>
      </c>
      <c r="H158" s="33">
        <v>3810</v>
      </c>
      <c r="I158" s="85">
        <v>3790</v>
      </c>
      <c r="J158" s="93">
        <v>19.8</v>
      </c>
      <c r="K158" s="86">
        <v>4.08</v>
      </c>
      <c r="L158" s="307">
        <v>4.05</v>
      </c>
      <c r="M158" s="39">
        <v>4.05</v>
      </c>
      <c r="N158" s="39">
        <v>0</v>
      </c>
      <c r="O158" s="36">
        <v>3.2199999999999999E-2</v>
      </c>
      <c r="P158" s="86">
        <v>0.248</v>
      </c>
      <c r="Q158" s="307">
        <v>0.247</v>
      </c>
      <c r="R158" s="36">
        <v>0.247</v>
      </c>
      <c r="S158" s="36">
        <v>0</v>
      </c>
      <c r="T158" s="36">
        <v>7.8799999999999996E-4</v>
      </c>
      <c r="U158" s="86">
        <v>3.84</v>
      </c>
      <c r="V158" s="307">
        <v>3.81</v>
      </c>
      <c r="W158" s="36">
        <v>3.81</v>
      </c>
      <c r="X158" s="36">
        <v>0</v>
      </c>
      <c r="Y158" s="36">
        <v>3.1399999999999997E-2</v>
      </c>
      <c r="Z158" s="72">
        <v>1.02</v>
      </c>
      <c r="AA158" s="77">
        <v>1.01</v>
      </c>
      <c r="AB158" s="32">
        <v>7.92E-3</v>
      </c>
      <c r="AC158" s="308">
        <v>0</v>
      </c>
      <c r="AD158" s="109" t="s">
        <v>1660</v>
      </c>
      <c r="AE158" s="30" t="s">
        <v>1643</v>
      </c>
    </row>
    <row r="159" spans="1:31" s="305" customFormat="1">
      <c r="A159" s="323" t="s">
        <v>654</v>
      </c>
      <c r="B159" s="217" t="s">
        <v>1661</v>
      </c>
      <c r="C159" s="45" t="s">
        <v>1662</v>
      </c>
      <c r="D159" s="88" t="s">
        <v>1663</v>
      </c>
      <c r="E159" s="30" t="s">
        <v>1664</v>
      </c>
      <c r="F159" s="71">
        <v>7900</v>
      </c>
      <c r="G159" s="47" t="s">
        <v>268</v>
      </c>
      <c r="H159" s="33">
        <v>9710</v>
      </c>
      <c r="I159" s="85">
        <v>9690</v>
      </c>
      <c r="J159" s="93">
        <v>11.1</v>
      </c>
      <c r="K159" s="86">
        <v>17</v>
      </c>
      <c r="L159" s="307">
        <v>17</v>
      </c>
      <c r="M159" s="39">
        <v>17</v>
      </c>
      <c r="N159" s="39">
        <v>0</v>
      </c>
      <c r="O159" s="36">
        <v>2.7799999999999998E-2</v>
      </c>
      <c r="P159" s="86">
        <v>2.41</v>
      </c>
      <c r="Q159" s="307">
        <v>2.41</v>
      </c>
      <c r="R159" s="36">
        <v>2.41</v>
      </c>
      <c r="S159" s="36">
        <v>0</v>
      </c>
      <c r="T159" s="36">
        <v>5.8200000000000005E-4</v>
      </c>
      <c r="U159" s="86">
        <v>14.6</v>
      </c>
      <c r="V159" s="307">
        <v>14.5</v>
      </c>
      <c r="W159" s="36">
        <v>14.5</v>
      </c>
      <c r="X159" s="36">
        <v>0</v>
      </c>
      <c r="Y159" s="36">
        <v>2.7199999999999998E-2</v>
      </c>
      <c r="Z159" s="72">
        <v>4.12</v>
      </c>
      <c r="AA159" s="77">
        <v>4.1100000000000003</v>
      </c>
      <c r="AB159" s="32">
        <v>6.9300000000000004E-3</v>
      </c>
      <c r="AC159" s="308">
        <v>0</v>
      </c>
      <c r="AD159" s="109" t="s">
        <v>1665</v>
      </c>
      <c r="AE159" s="30" t="s">
        <v>1666</v>
      </c>
    </row>
    <row r="160" spans="1:31" s="305" customFormat="1">
      <c r="A160" s="323" t="s">
        <v>1667</v>
      </c>
      <c r="B160" s="217" t="s">
        <v>1668</v>
      </c>
      <c r="C160" s="45" t="s">
        <v>1669</v>
      </c>
      <c r="D160" s="88" t="s">
        <v>1663</v>
      </c>
      <c r="E160" s="30" t="s">
        <v>1664</v>
      </c>
      <c r="F160" s="71">
        <v>7900</v>
      </c>
      <c r="G160" s="47" t="s">
        <v>268</v>
      </c>
      <c r="H160" s="33">
        <v>13000</v>
      </c>
      <c r="I160" s="85">
        <v>13000</v>
      </c>
      <c r="J160" s="93">
        <v>11.1</v>
      </c>
      <c r="K160" s="86">
        <v>25</v>
      </c>
      <c r="L160" s="307">
        <v>24.9</v>
      </c>
      <c r="M160" s="39">
        <v>24.9</v>
      </c>
      <c r="N160" s="39">
        <v>0</v>
      </c>
      <c r="O160" s="36">
        <v>2.7799999999999998E-2</v>
      </c>
      <c r="P160" s="86">
        <v>2.69</v>
      </c>
      <c r="Q160" s="307">
        <v>2.69</v>
      </c>
      <c r="R160" s="36">
        <v>2.69</v>
      </c>
      <c r="S160" s="36">
        <v>0</v>
      </c>
      <c r="T160" s="36">
        <v>5.8200000000000005E-4</v>
      </c>
      <c r="U160" s="86">
        <v>22.3</v>
      </c>
      <c r="V160" s="307">
        <v>22.2</v>
      </c>
      <c r="W160" s="36">
        <v>22.2</v>
      </c>
      <c r="X160" s="36">
        <v>0</v>
      </c>
      <c r="Y160" s="36">
        <v>2.7199999999999998E-2</v>
      </c>
      <c r="Z160" s="72">
        <v>5.88</v>
      </c>
      <c r="AA160" s="77">
        <v>5.87</v>
      </c>
      <c r="AB160" s="32">
        <v>6.9300000000000004E-3</v>
      </c>
      <c r="AC160" s="308">
        <v>0</v>
      </c>
      <c r="AD160" s="109" t="s">
        <v>1670</v>
      </c>
      <c r="AE160" s="30" t="s">
        <v>1666</v>
      </c>
    </row>
    <row r="161" spans="1:31" s="305" customFormat="1">
      <c r="A161" s="323" t="s">
        <v>1671</v>
      </c>
      <c r="B161" s="217" t="s">
        <v>1672</v>
      </c>
      <c r="C161" s="45" t="s">
        <v>1673</v>
      </c>
      <c r="D161" s="88" t="s">
        <v>1663</v>
      </c>
      <c r="E161" s="30" t="s">
        <v>1664</v>
      </c>
      <c r="F161" s="71">
        <v>7700</v>
      </c>
      <c r="G161" s="47" t="s">
        <v>268</v>
      </c>
      <c r="H161" s="33">
        <v>7080</v>
      </c>
      <c r="I161" s="85">
        <v>7070</v>
      </c>
      <c r="J161" s="93">
        <v>11.1</v>
      </c>
      <c r="K161" s="86">
        <v>9.52</v>
      </c>
      <c r="L161" s="307">
        <v>9.49</v>
      </c>
      <c r="M161" s="39">
        <v>9.49</v>
      </c>
      <c r="N161" s="39">
        <v>0</v>
      </c>
      <c r="O161" s="36">
        <v>2.7799999999999998E-2</v>
      </c>
      <c r="P161" s="86">
        <v>0.98099999999999998</v>
      </c>
      <c r="Q161" s="307">
        <v>0.98</v>
      </c>
      <c r="R161" s="36">
        <v>0.98</v>
      </c>
      <c r="S161" s="36">
        <v>0</v>
      </c>
      <c r="T161" s="36">
        <v>5.8200000000000005E-4</v>
      </c>
      <c r="U161" s="86">
        <v>8.5299999999999994</v>
      </c>
      <c r="V161" s="307">
        <v>8.51</v>
      </c>
      <c r="W161" s="36">
        <v>8.51</v>
      </c>
      <c r="X161" s="36">
        <v>0</v>
      </c>
      <c r="Y161" s="36">
        <v>2.7199999999999998E-2</v>
      </c>
      <c r="Z161" s="72">
        <v>2.74</v>
      </c>
      <c r="AA161" s="77">
        <v>2.73</v>
      </c>
      <c r="AB161" s="32">
        <v>6.9300000000000004E-3</v>
      </c>
      <c r="AC161" s="308">
        <v>0</v>
      </c>
      <c r="AD161" s="109" t="s">
        <v>1674</v>
      </c>
      <c r="AE161" s="30" t="s">
        <v>1666</v>
      </c>
    </row>
    <row r="162" spans="1:31" s="305" customFormat="1">
      <c r="A162" s="323" t="s">
        <v>1675</v>
      </c>
      <c r="B162" s="217" t="s">
        <v>1676</v>
      </c>
      <c r="C162" s="45" t="s">
        <v>1677</v>
      </c>
      <c r="D162" s="88" t="s">
        <v>1663</v>
      </c>
      <c r="E162" s="30" t="s">
        <v>1664</v>
      </c>
      <c r="F162" s="71">
        <v>7700</v>
      </c>
      <c r="G162" s="47" t="s">
        <v>268</v>
      </c>
      <c r="H162" s="33">
        <v>10400</v>
      </c>
      <c r="I162" s="85">
        <v>10400</v>
      </c>
      <c r="J162" s="93">
        <v>11.1</v>
      </c>
      <c r="K162" s="86">
        <v>17.5</v>
      </c>
      <c r="L162" s="307">
        <v>17.5</v>
      </c>
      <c r="M162" s="39">
        <v>17.5</v>
      </c>
      <c r="N162" s="39">
        <v>0</v>
      </c>
      <c r="O162" s="36">
        <v>2.7799999999999998E-2</v>
      </c>
      <c r="P162" s="86">
        <v>1.25</v>
      </c>
      <c r="Q162" s="307">
        <v>1.25</v>
      </c>
      <c r="R162" s="36">
        <v>1.25</v>
      </c>
      <c r="S162" s="36">
        <v>0</v>
      </c>
      <c r="T162" s="36">
        <v>5.8200000000000005E-4</v>
      </c>
      <c r="U162" s="86">
        <v>16.2</v>
      </c>
      <c r="V162" s="307">
        <v>16.2</v>
      </c>
      <c r="W162" s="36">
        <v>16.2</v>
      </c>
      <c r="X162" s="36">
        <v>0</v>
      </c>
      <c r="Y162" s="36">
        <v>2.7199999999999998E-2</v>
      </c>
      <c r="Z162" s="72">
        <v>4.49</v>
      </c>
      <c r="AA162" s="77">
        <v>4.4800000000000004</v>
      </c>
      <c r="AB162" s="32">
        <v>6.9300000000000004E-3</v>
      </c>
      <c r="AC162" s="308">
        <v>0</v>
      </c>
      <c r="AD162" s="109" t="s">
        <v>1678</v>
      </c>
      <c r="AE162" s="30" t="s">
        <v>1666</v>
      </c>
    </row>
    <row r="163" spans="1:31" s="305" customFormat="1">
      <c r="A163" s="323" t="s">
        <v>1679</v>
      </c>
      <c r="B163" s="217" t="s">
        <v>1680</v>
      </c>
      <c r="C163" s="45" t="s">
        <v>1681</v>
      </c>
      <c r="D163" s="88" t="s">
        <v>1640</v>
      </c>
      <c r="E163" s="30" t="s">
        <v>1641</v>
      </c>
      <c r="F163" s="71">
        <v>8900</v>
      </c>
      <c r="G163" s="47" t="s">
        <v>268</v>
      </c>
      <c r="H163" s="33">
        <v>24500</v>
      </c>
      <c r="I163" s="85">
        <v>24500</v>
      </c>
      <c r="J163" s="93">
        <v>19.8</v>
      </c>
      <c r="K163" s="86">
        <v>10.5</v>
      </c>
      <c r="L163" s="307">
        <v>10.5</v>
      </c>
      <c r="M163" s="39">
        <v>10.5</v>
      </c>
      <c r="N163" s="39">
        <v>0</v>
      </c>
      <c r="O163" s="36">
        <v>3.2199999999999999E-2</v>
      </c>
      <c r="P163" s="86">
        <v>1.64</v>
      </c>
      <c r="Q163" s="307">
        <v>1.64</v>
      </c>
      <c r="R163" s="36">
        <v>1.64</v>
      </c>
      <c r="S163" s="36">
        <v>0</v>
      </c>
      <c r="T163" s="36">
        <v>7.8799999999999996E-4</v>
      </c>
      <c r="U163" s="86">
        <v>8.9</v>
      </c>
      <c r="V163" s="307">
        <v>8.8699999999999992</v>
      </c>
      <c r="W163" s="36">
        <v>8.8699999999999992</v>
      </c>
      <c r="X163" s="36">
        <v>0</v>
      </c>
      <c r="Y163" s="36">
        <v>3.1399999999999997E-2</v>
      </c>
      <c r="Z163" s="72">
        <v>2.2000000000000002</v>
      </c>
      <c r="AA163" s="77">
        <v>2.2000000000000002</v>
      </c>
      <c r="AB163" s="32">
        <v>7.92E-3</v>
      </c>
      <c r="AC163" s="308">
        <v>0</v>
      </c>
      <c r="AD163" s="109" t="s">
        <v>1682</v>
      </c>
      <c r="AE163" s="30" t="s">
        <v>1643</v>
      </c>
    </row>
    <row r="164" spans="1:31" s="305" customFormat="1">
      <c r="A164" s="323" t="s">
        <v>1683</v>
      </c>
      <c r="B164" s="217" t="s">
        <v>1684</v>
      </c>
      <c r="C164" s="45" t="s">
        <v>1685</v>
      </c>
      <c r="D164" s="88" t="s">
        <v>1640</v>
      </c>
      <c r="E164" s="30" t="s">
        <v>1641</v>
      </c>
      <c r="F164" s="71">
        <v>8300</v>
      </c>
      <c r="G164" s="47" t="s">
        <v>268</v>
      </c>
      <c r="H164" s="33">
        <v>25500</v>
      </c>
      <c r="I164" s="85">
        <v>25400</v>
      </c>
      <c r="J164" s="93">
        <v>19.8</v>
      </c>
      <c r="K164" s="86">
        <v>13</v>
      </c>
      <c r="L164" s="307">
        <v>12.9</v>
      </c>
      <c r="M164" s="39">
        <v>12.9</v>
      </c>
      <c r="N164" s="39">
        <v>0</v>
      </c>
      <c r="O164" s="36">
        <v>3.2199999999999999E-2</v>
      </c>
      <c r="P164" s="86">
        <v>1.9</v>
      </c>
      <c r="Q164" s="307">
        <v>1.89</v>
      </c>
      <c r="R164" s="36">
        <v>1.89</v>
      </c>
      <c r="S164" s="36">
        <v>0</v>
      </c>
      <c r="T164" s="36">
        <v>7.8799999999999996E-4</v>
      </c>
      <c r="U164" s="86">
        <v>11.1</v>
      </c>
      <c r="V164" s="307">
        <v>11</v>
      </c>
      <c r="W164" s="36">
        <v>11</v>
      </c>
      <c r="X164" s="36">
        <v>0</v>
      </c>
      <c r="Y164" s="36">
        <v>3.1399999999999997E-2</v>
      </c>
      <c r="Z164" s="72">
        <v>2.71</v>
      </c>
      <c r="AA164" s="77">
        <v>2.7</v>
      </c>
      <c r="AB164" s="32">
        <v>7.92E-3</v>
      </c>
      <c r="AC164" s="308">
        <v>0</v>
      </c>
      <c r="AD164" s="109" t="s">
        <v>1686</v>
      </c>
      <c r="AE164" s="30" t="s">
        <v>1643</v>
      </c>
    </row>
    <row r="165" spans="1:31" s="305" customFormat="1">
      <c r="A165" s="323" t="s">
        <v>1687</v>
      </c>
      <c r="B165" s="217" t="s">
        <v>1688</v>
      </c>
      <c r="C165" s="45" t="s">
        <v>1689</v>
      </c>
      <c r="D165" s="88" t="s">
        <v>1663</v>
      </c>
      <c r="E165" s="30" t="s">
        <v>1664</v>
      </c>
      <c r="F165" s="71">
        <v>7850</v>
      </c>
      <c r="G165" s="47" t="s">
        <v>268</v>
      </c>
      <c r="H165" s="33">
        <v>5260</v>
      </c>
      <c r="I165" s="85">
        <v>5250</v>
      </c>
      <c r="J165" s="93">
        <v>11.1</v>
      </c>
      <c r="K165" s="86">
        <v>8.43</v>
      </c>
      <c r="L165" s="307">
        <v>8.4</v>
      </c>
      <c r="M165" s="39">
        <v>8.4</v>
      </c>
      <c r="N165" s="39">
        <v>0</v>
      </c>
      <c r="O165" s="36">
        <v>2.7799999999999998E-2</v>
      </c>
      <c r="P165" s="86">
        <v>0.628</v>
      </c>
      <c r="Q165" s="307">
        <v>0.628</v>
      </c>
      <c r="R165" s="36">
        <v>0.628</v>
      </c>
      <c r="S165" s="36">
        <v>0</v>
      </c>
      <c r="T165" s="36">
        <v>5.8200000000000005E-4</v>
      </c>
      <c r="U165" s="86">
        <v>7.8</v>
      </c>
      <c r="V165" s="307">
        <v>7.77</v>
      </c>
      <c r="W165" s="36">
        <v>7.77</v>
      </c>
      <c r="X165" s="36">
        <v>0</v>
      </c>
      <c r="Y165" s="36">
        <v>2.7199999999999998E-2</v>
      </c>
      <c r="Z165" s="72">
        <v>2.8</v>
      </c>
      <c r="AA165" s="77">
        <v>2.79</v>
      </c>
      <c r="AB165" s="32">
        <v>6.9300000000000004E-3</v>
      </c>
      <c r="AC165" s="308">
        <v>0</v>
      </c>
      <c r="AD165" s="109" t="s">
        <v>1690</v>
      </c>
      <c r="AE165" s="30" t="s">
        <v>1666</v>
      </c>
    </row>
    <row r="166" spans="1:31" s="305" customFormat="1">
      <c r="A166" s="323" t="s">
        <v>657</v>
      </c>
      <c r="B166" s="217" t="s">
        <v>1691</v>
      </c>
      <c r="C166" s="45" t="s">
        <v>1692</v>
      </c>
      <c r="D166" s="88" t="s">
        <v>1663</v>
      </c>
      <c r="E166" s="30" t="s">
        <v>1664</v>
      </c>
      <c r="F166" s="71">
        <v>7850</v>
      </c>
      <c r="G166" s="47" t="s">
        <v>268</v>
      </c>
      <c r="H166" s="33">
        <v>15200</v>
      </c>
      <c r="I166" s="85">
        <v>15200</v>
      </c>
      <c r="J166" s="93">
        <v>11.1</v>
      </c>
      <c r="K166" s="86">
        <v>17</v>
      </c>
      <c r="L166" s="307">
        <v>17</v>
      </c>
      <c r="M166" s="39">
        <v>17</v>
      </c>
      <c r="N166" s="39">
        <v>0</v>
      </c>
      <c r="O166" s="36">
        <v>2.7799999999999998E-2</v>
      </c>
      <c r="P166" s="86">
        <v>1.4</v>
      </c>
      <c r="Q166" s="307">
        <v>1.4</v>
      </c>
      <c r="R166" s="36">
        <v>1.4</v>
      </c>
      <c r="S166" s="36">
        <v>0</v>
      </c>
      <c r="T166" s="36">
        <v>5.8200000000000005E-4</v>
      </c>
      <c r="U166" s="86">
        <v>15.6</v>
      </c>
      <c r="V166" s="307">
        <v>15.6</v>
      </c>
      <c r="W166" s="36">
        <v>15.6</v>
      </c>
      <c r="X166" s="36">
        <v>0</v>
      </c>
      <c r="Y166" s="36">
        <v>2.7199999999999998E-2</v>
      </c>
      <c r="Z166" s="72">
        <v>4.49</v>
      </c>
      <c r="AA166" s="77">
        <v>4.4800000000000004</v>
      </c>
      <c r="AB166" s="32">
        <v>6.9300000000000004E-3</v>
      </c>
      <c r="AC166" s="308">
        <v>0</v>
      </c>
      <c r="AD166" s="109" t="s">
        <v>1693</v>
      </c>
      <c r="AE166" s="30" t="s">
        <v>1666</v>
      </c>
    </row>
    <row r="167" spans="1:31" s="305" customFormat="1">
      <c r="A167" s="323" t="s">
        <v>748</v>
      </c>
      <c r="B167" s="217" t="s">
        <v>1694</v>
      </c>
      <c r="C167" s="45" t="s">
        <v>1695</v>
      </c>
      <c r="D167" s="88" t="s">
        <v>1663</v>
      </c>
      <c r="E167" s="30" t="s">
        <v>1664</v>
      </c>
      <c r="F167" s="71">
        <v>7850</v>
      </c>
      <c r="G167" s="47" t="s">
        <v>268</v>
      </c>
      <c r="H167" s="33">
        <v>1290</v>
      </c>
      <c r="I167" s="85">
        <v>1280</v>
      </c>
      <c r="J167" s="93">
        <v>11.1</v>
      </c>
      <c r="K167" s="86">
        <v>3.63</v>
      </c>
      <c r="L167" s="307">
        <v>3.61</v>
      </c>
      <c r="M167" s="39">
        <v>3.61</v>
      </c>
      <c r="N167" s="39">
        <v>0</v>
      </c>
      <c r="O167" s="36">
        <v>2.7799999999999998E-2</v>
      </c>
      <c r="P167" s="86">
        <v>0.255</v>
      </c>
      <c r="Q167" s="307">
        <v>0.254</v>
      </c>
      <c r="R167" s="36">
        <v>0.254</v>
      </c>
      <c r="S167" s="36">
        <v>0</v>
      </c>
      <c r="T167" s="36">
        <v>5.8200000000000005E-4</v>
      </c>
      <c r="U167" s="86">
        <v>3.38</v>
      </c>
      <c r="V167" s="307">
        <v>3.35</v>
      </c>
      <c r="W167" s="36">
        <v>3.35</v>
      </c>
      <c r="X167" s="36">
        <v>0</v>
      </c>
      <c r="Y167" s="36">
        <v>2.7199999999999998E-2</v>
      </c>
      <c r="Z167" s="50">
        <v>0.73699999999999999</v>
      </c>
      <c r="AA167" s="78">
        <v>0.73</v>
      </c>
      <c r="AB167" s="32">
        <v>6.9300000000000004E-3</v>
      </c>
      <c r="AC167" s="308">
        <v>0</v>
      </c>
      <c r="AD167" s="109" t="s">
        <v>1696</v>
      </c>
      <c r="AE167" s="30" t="s">
        <v>1666</v>
      </c>
    </row>
    <row r="168" spans="1:31" s="305" customFormat="1">
      <c r="A168" s="323" t="s">
        <v>1697</v>
      </c>
      <c r="B168" s="217" t="s">
        <v>1698</v>
      </c>
      <c r="C168" s="45" t="s">
        <v>1699</v>
      </c>
      <c r="D168" s="88" t="s">
        <v>1640</v>
      </c>
      <c r="E168" s="30" t="s">
        <v>1641</v>
      </c>
      <c r="F168" s="71">
        <v>7200</v>
      </c>
      <c r="G168" s="47" t="s">
        <v>268</v>
      </c>
      <c r="H168" s="33">
        <v>27800</v>
      </c>
      <c r="I168" s="85">
        <v>27800</v>
      </c>
      <c r="J168" s="93">
        <v>19.8</v>
      </c>
      <c r="K168" s="86">
        <v>20.100000000000001</v>
      </c>
      <c r="L168" s="307">
        <v>20</v>
      </c>
      <c r="M168" s="39">
        <v>20</v>
      </c>
      <c r="N168" s="39">
        <v>0</v>
      </c>
      <c r="O168" s="36">
        <v>3.2199999999999999E-2</v>
      </c>
      <c r="P168" s="86">
        <v>2.61</v>
      </c>
      <c r="Q168" s="307">
        <v>2.61</v>
      </c>
      <c r="R168" s="36">
        <v>2.61</v>
      </c>
      <c r="S168" s="36">
        <v>0</v>
      </c>
      <c r="T168" s="36">
        <v>7.8799999999999996E-4</v>
      </c>
      <c r="U168" s="86">
        <v>17.5</v>
      </c>
      <c r="V168" s="307">
        <v>17.399999999999999</v>
      </c>
      <c r="W168" s="36">
        <v>17.399999999999999</v>
      </c>
      <c r="X168" s="36">
        <v>0</v>
      </c>
      <c r="Y168" s="36">
        <v>3.1399999999999997E-2</v>
      </c>
      <c r="Z168" s="72">
        <v>4.03</v>
      </c>
      <c r="AA168" s="77">
        <v>4.0199999999999996</v>
      </c>
      <c r="AB168" s="32">
        <v>7.92E-3</v>
      </c>
      <c r="AC168" s="308">
        <v>0</v>
      </c>
      <c r="AD168" s="109" t="s">
        <v>1700</v>
      </c>
      <c r="AE168" s="30" t="s">
        <v>1643</v>
      </c>
    </row>
    <row r="169" spans="1:31" s="305" customFormat="1" ht="27">
      <c r="A169" s="298" t="s">
        <v>1701</v>
      </c>
      <c r="B169" s="691"/>
      <c r="C169" s="298" t="s">
        <v>1702</v>
      </c>
      <c r="D169" s="40"/>
      <c r="E169" s="41"/>
      <c r="F169" s="42" t="s">
        <v>3902</v>
      </c>
      <c r="G169" s="43"/>
      <c r="H169" s="322"/>
      <c r="I169" s="322"/>
      <c r="J169" s="322"/>
      <c r="K169" s="328"/>
      <c r="L169" s="329"/>
      <c r="M169" s="312"/>
      <c r="N169" s="312"/>
      <c r="O169" s="330"/>
      <c r="P169" s="330"/>
      <c r="Q169" s="329"/>
      <c r="R169" s="312"/>
      <c r="S169" s="312"/>
      <c r="T169" s="330"/>
      <c r="U169" s="330"/>
      <c r="V169" s="329"/>
      <c r="W169" s="312"/>
      <c r="X169" s="312"/>
      <c r="Y169" s="329"/>
      <c r="Z169" s="358"/>
      <c r="AA169" s="301"/>
      <c r="AB169" s="372"/>
      <c r="AC169" s="372"/>
      <c r="AD169" s="373" t="s">
        <v>1703</v>
      </c>
      <c r="AE169" s="41"/>
    </row>
    <row r="170" spans="1:31" s="305" customFormat="1">
      <c r="A170" s="323" t="s">
        <v>590</v>
      </c>
      <c r="B170" s="217" t="s">
        <v>1704</v>
      </c>
      <c r="C170" s="30" t="s">
        <v>1705</v>
      </c>
      <c r="D170" s="88" t="s">
        <v>1706</v>
      </c>
      <c r="E170" s="30" t="s">
        <v>1707</v>
      </c>
      <c r="F170" s="32">
        <v>453</v>
      </c>
      <c r="G170" s="32" t="s">
        <v>268</v>
      </c>
      <c r="H170" s="33">
        <v>1010</v>
      </c>
      <c r="I170" s="34">
        <v>932</v>
      </c>
      <c r="J170" s="49">
        <v>80.3</v>
      </c>
      <c r="K170" s="86">
        <v>15.4</v>
      </c>
      <c r="L170" s="36">
        <v>15.3</v>
      </c>
      <c r="M170" s="39">
        <v>10.1</v>
      </c>
      <c r="N170" s="39">
        <v>5.29</v>
      </c>
      <c r="O170" s="36">
        <v>9.8500000000000004E-2</v>
      </c>
      <c r="P170" s="86">
        <v>13.3</v>
      </c>
      <c r="Q170" s="36">
        <v>13.3</v>
      </c>
      <c r="R170" s="36">
        <v>8.3000000000000007</v>
      </c>
      <c r="S170" s="36">
        <v>4.95</v>
      </c>
      <c r="T170" s="36">
        <v>6.1700000000000001E-3</v>
      </c>
      <c r="U170" s="86">
        <v>2.1800000000000002</v>
      </c>
      <c r="V170" s="36">
        <v>2.09</v>
      </c>
      <c r="W170" s="36">
        <v>1.75</v>
      </c>
      <c r="X170" s="36">
        <v>0.33700000000000002</v>
      </c>
      <c r="Y170" s="36">
        <v>9.2299999999999993E-2</v>
      </c>
      <c r="Z170" s="50">
        <v>0.46899999999999997</v>
      </c>
      <c r="AA170" s="31">
        <v>0.41399999999999998</v>
      </c>
      <c r="AB170" s="31">
        <v>5.5300000000000002E-2</v>
      </c>
      <c r="AC170" s="308">
        <v>0.433</v>
      </c>
      <c r="AD170" s="332" t="s">
        <v>1708</v>
      </c>
      <c r="AE170" s="30" t="s">
        <v>1709</v>
      </c>
    </row>
    <row r="171" spans="1:31" s="325" customFormat="1">
      <c r="A171" s="374" t="s">
        <v>1710</v>
      </c>
      <c r="B171" s="217" t="s">
        <v>1711</v>
      </c>
      <c r="C171" s="30" t="s">
        <v>1712</v>
      </c>
      <c r="D171" s="353" t="s">
        <v>1713</v>
      </c>
      <c r="E171" s="354" t="s">
        <v>1714</v>
      </c>
      <c r="F171" s="32">
        <v>439</v>
      </c>
      <c r="G171" s="32" t="s">
        <v>268</v>
      </c>
      <c r="H171" s="33">
        <v>790</v>
      </c>
      <c r="I171" s="34">
        <v>716</v>
      </c>
      <c r="J171" s="49">
        <v>73.8</v>
      </c>
      <c r="K171" s="86">
        <v>10.199999999999999</v>
      </c>
      <c r="L171" s="36">
        <v>10.1</v>
      </c>
      <c r="M171" s="39">
        <v>4.8600000000000003</v>
      </c>
      <c r="N171" s="39">
        <v>5.19</v>
      </c>
      <c r="O171" s="36">
        <v>9.7100000000000006E-2</v>
      </c>
      <c r="P171" s="86">
        <v>8.59</v>
      </c>
      <c r="Q171" s="36">
        <v>8.58</v>
      </c>
      <c r="R171" s="36">
        <v>3.49</v>
      </c>
      <c r="S171" s="36">
        <v>5.09</v>
      </c>
      <c r="T171" s="36">
        <v>6.1500000000000001E-3</v>
      </c>
      <c r="U171" s="86">
        <v>1.56</v>
      </c>
      <c r="V171" s="36">
        <v>1.47</v>
      </c>
      <c r="W171" s="36">
        <v>1.37</v>
      </c>
      <c r="X171" s="36">
        <v>9.7000000000000003E-2</v>
      </c>
      <c r="Y171" s="36">
        <v>9.0999999999999998E-2</v>
      </c>
      <c r="Z171" s="50">
        <v>0.34200000000000003</v>
      </c>
      <c r="AA171" s="31">
        <v>0.29299999999999998</v>
      </c>
      <c r="AB171" s="31">
        <v>4.9200000000000001E-2</v>
      </c>
      <c r="AC171" s="308">
        <v>0.44600000000000001</v>
      </c>
      <c r="AD171" s="332" t="s">
        <v>1715</v>
      </c>
      <c r="AE171" s="354" t="s">
        <v>1716</v>
      </c>
    </row>
    <row r="172" spans="1:31" s="305" customFormat="1">
      <c r="A172" s="323" t="s">
        <v>819</v>
      </c>
      <c r="B172" s="217" t="s">
        <v>1717</v>
      </c>
      <c r="C172" s="30" t="s">
        <v>1718</v>
      </c>
      <c r="D172" s="88" t="s">
        <v>1713</v>
      </c>
      <c r="E172" s="30" t="s">
        <v>1714</v>
      </c>
      <c r="F172" s="32">
        <v>439</v>
      </c>
      <c r="G172" s="32" t="s">
        <v>268</v>
      </c>
      <c r="H172" s="33">
        <v>769</v>
      </c>
      <c r="I172" s="34">
        <v>696</v>
      </c>
      <c r="J172" s="49">
        <v>73.8</v>
      </c>
      <c r="K172" s="86">
        <v>9.68</v>
      </c>
      <c r="L172" s="36">
        <v>9.58</v>
      </c>
      <c r="M172" s="39">
        <v>4.38</v>
      </c>
      <c r="N172" s="39">
        <v>5.2</v>
      </c>
      <c r="O172" s="36">
        <v>9.7100000000000006E-2</v>
      </c>
      <c r="P172" s="86">
        <v>8.14</v>
      </c>
      <c r="Q172" s="36">
        <v>8.14</v>
      </c>
      <c r="R172" s="36">
        <v>3.07</v>
      </c>
      <c r="S172" s="36">
        <v>5.0599999999999996</v>
      </c>
      <c r="T172" s="36">
        <v>6.1500000000000001E-3</v>
      </c>
      <c r="U172" s="72">
        <v>1.53</v>
      </c>
      <c r="V172" s="36">
        <v>1.44</v>
      </c>
      <c r="W172" s="36">
        <v>1.3</v>
      </c>
      <c r="X172" s="36">
        <v>0.14199999999999999</v>
      </c>
      <c r="Y172" s="36">
        <v>9.0999999999999998E-2</v>
      </c>
      <c r="Z172" s="50">
        <v>0.33500000000000002</v>
      </c>
      <c r="AA172" s="31">
        <v>0.28599999999999998</v>
      </c>
      <c r="AB172" s="31">
        <v>4.9200000000000001E-2</v>
      </c>
      <c r="AC172" s="308">
        <v>0.44600000000000001</v>
      </c>
      <c r="AD172" s="332" t="s">
        <v>1719</v>
      </c>
      <c r="AE172" s="30" t="s">
        <v>1716</v>
      </c>
    </row>
    <row r="173" spans="1:31" s="305" customFormat="1" ht="12.75" customHeight="1" outlineLevel="1">
      <c r="A173" s="318" t="s">
        <v>1720</v>
      </c>
      <c r="B173" s="60" t="s">
        <v>1721</v>
      </c>
      <c r="C173" s="60" t="s">
        <v>1722</v>
      </c>
      <c r="D173" s="94" t="s">
        <v>1713</v>
      </c>
      <c r="E173" s="60" t="s">
        <v>1714</v>
      </c>
      <c r="F173" s="96">
        <v>439</v>
      </c>
      <c r="G173" s="97" t="s">
        <v>268</v>
      </c>
      <c r="H173" s="64">
        <v>681</v>
      </c>
      <c r="I173" s="65">
        <v>607</v>
      </c>
      <c r="J173" s="65">
        <v>73.8</v>
      </c>
      <c r="K173" s="66">
        <v>9.2100000000000009</v>
      </c>
      <c r="L173" s="107">
        <v>9.11</v>
      </c>
      <c r="M173" s="107">
        <v>3.92</v>
      </c>
      <c r="N173" s="107">
        <v>5.19</v>
      </c>
      <c r="O173" s="107">
        <v>9.7100000000000006E-2</v>
      </c>
      <c r="P173" s="66">
        <v>8.01</v>
      </c>
      <c r="Q173" s="107">
        <v>8</v>
      </c>
      <c r="R173" s="107">
        <v>2.9</v>
      </c>
      <c r="S173" s="107">
        <v>5.0999999999999996</v>
      </c>
      <c r="T173" s="107">
        <v>6.1500000000000001E-3</v>
      </c>
      <c r="U173" s="66">
        <v>1.2</v>
      </c>
      <c r="V173" s="107">
        <v>1.1100000000000001</v>
      </c>
      <c r="W173" s="107">
        <v>1.03</v>
      </c>
      <c r="X173" s="107">
        <v>8.4400000000000003E-2</v>
      </c>
      <c r="Y173" s="107">
        <v>9.0999999999999998E-2</v>
      </c>
      <c r="Z173" s="69">
        <v>0.253</v>
      </c>
      <c r="AA173" s="68">
        <v>0.20399999999999999</v>
      </c>
      <c r="AB173" s="70">
        <v>4.9200000000000001E-2</v>
      </c>
      <c r="AC173" s="321">
        <v>0.44700000000000001</v>
      </c>
      <c r="AD173" s="375" t="s">
        <v>1723</v>
      </c>
      <c r="AE173" s="60" t="s">
        <v>1716</v>
      </c>
    </row>
    <row r="174" spans="1:31" s="305" customFormat="1" ht="12.75" customHeight="1" outlineLevel="1">
      <c r="A174" s="323" t="s">
        <v>1724</v>
      </c>
      <c r="B174" s="217" t="s">
        <v>1725</v>
      </c>
      <c r="C174" s="30" t="s">
        <v>1718</v>
      </c>
      <c r="D174" s="88" t="s">
        <v>1713</v>
      </c>
      <c r="E174" s="30" t="s">
        <v>1714</v>
      </c>
      <c r="F174" s="32">
        <v>439</v>
      </c>
      <c r="G174" s="32" t="s">
        <v>268</v>
      </c>
      <c r="H174" s="33">
        <v>769</v>
      </c>
      <c r="I174" s="34">
        <v>696</v>
      </c>
      <c r="J174" s="49">
        <v>73.8</v>
      </c>
      <c r="K174" s="86">
        <v>9.68</v>
      </c>
      <c r="L174" s="36">
        <v>9.58</v>
      </c>
      <c r="M174" s="39">
        <v>4.38</v>
      </c>
      <c r="N174" s="39">
        <v>5.2</v>
      </c>
      <c r="O174" s="36">
        <v>9.7100000000000006E-2</v>
      </c>
      <c r="P174" s="86">
        <v>8.14</v>
      </c>
      <c r="Q174" s="36">
        <v>8.14</v>
      </c>
      <c r="R174" s="36">
        <v>3.07</v>
      </c>
      <c r="S174" s="36">
        <v>5.0599999999999996</v>
      </c>
      <c r="T174" s="36">
        <v>6.1500000000000001E-3</v>
      </c>
      <c r="U174" s="72">
        <v>1.53</v>
      </c>
      <c r="V174" s="36">
        <v>1.44</v>
      </c>
      <c r="W174" s="36">
        <v>1.3</v>
      </c>
      <c r="X174" s="36">
        <v>0.14199999999999999</v>
      </c>
      <c r="Y174" s="36">
        <v>9.0999999999999998E-2</v>
      </c>
      <c r="Z174" s="50">
        <v>0.33500000000000002</v>
      </c>
      <c r="AA174" s="31">
        <v>0.28599999999999998</v>
      </c>
      <c r="AB174" s="31">
        <v>4.9200000000000001E-2</v>
      </c>
      <c r="AC174" s="340">
        <v>0.44600000000000001</v>
      </c>
      <c r="AD174" s="332" t="s">
        <v>1719</v>
      </c>
      <c r="AE174" s="30" t="s">
        <v>1716</v>
      </c>
    </row>
    <row r="175" spans="1:31" s="305" customFormat="1" ht="12.75" customHeight="1" outlineLevel="2">
      <c r="A175" s="318" t="s">
        <v>1726</v>
      </c>
      <c r="B175" s="60" t="s">
        <v>1727</v>
      </c>
      <c r="C175" s="60" t="s">
        <v>1722</v>
      </c>
      <c r="D175" s="94" t="s">
        <v>1713</v>
      </c>
      <c r="E175" s="60" t="s">
        <v>1714</v>
      </c>
      <c r="F175" s="96">
        <v>439</v>
      </c>
      <c r="G175" s="97" t="s">
        <v>268</v>
      </c>
      <c r="H175" s="64">
        <v>681</v>
      </c>
      <c r="I175" s="65">
        <v>607</v>
      </c>
      <c r="J175" s="65">
        <v>73.8</v>
      </c>
      <c r="K175" s="66">
        <v>9.2100000000000009</v>
      </c>
      <c r="L175" s="107">
        <v>9.11</v>
      </c>
      <c r="M175" s="107">
        <v>3.92</v>
      </c>
      <c r="N175" s="107">
        <v>5.19</v>
      </c>
      <c r="O175" s="107">
        <v>9.7100000000000006E-2</v>
      </c>
      <c r="P175" s="66">
        <v>8.01</v>
      </c>
      <c r="Q175" s="107">
        <v>8</v>
      </c>
      <c r="R175" s="107">
        <v>2.9</v>
      </c>
      <c r="S175" s="107">
        <v>5.0999999999999996</v>
      </c>
      <c r="T175" s="107">
        <v>6.1500000000000001E-3</v>
      </c>
      <c r="U175" s="66">
        <v>1.2</v>
      </c>
      <c r="V175" s="107">
        <v>1.1100000000000001</v>
      </c>
      <c r="W175" s="107">
        <v>1.03</v>
      </c>
      <c r="X175" s="107">
        <v>8.4400000000000003E-2</v>
      </c>
      <c r="Y175" s="107">
        <v>9.0999999999999998E-2</v>
      </c>
      <c r="Z175" s="69">
        <v>0.253</v>
      </c>
      <c r="AA175" s="68">
        <v>0.20399999999999999</v>
      </c>
      <c r="AB175" s="70">
        <v>4.9200000000000001E-2</v>
      </c>
      <c r="AC175" s="321">
        <v>0.44700000000000001</v>
      </c>
      <c r="AD175" s="375" t="s">
        <v>1728</v>
      </c>
      <c r="AE175" s="60" t="s">
        <v>1716</v>
      </c>
    </row>
    <row r="176" spans="1:31" s="325" customFormat="1">
      <c r="A176" s="374" t="s">
        <v>1729</v>
      </c>
      <c r="B176" s="217" t="s">
        <v>1730</v>
      </c>
      <c r="C176" s="30" t="s">
        <v>1731</v>
      </c>
      <c r="D176" s="88" t="s">
        <v>1732</v>
      </c>
      <c r="E176" s="30" t="s">
        <v>1733</v>
      </c>
      <c r="F176" s="376">
        <v>436</v>
      </c>
      <c r="G176" s="32" t="s">
        <v>268</v>
      </c>
      <c r="H176" s="33">
        <v>882</v>
      </c>
      <c r="I176" s="34">
        <v>776</v>
      </c>
      <c r="J176" s="49">
        <v>106</v>
      </c>
      <c r="K176" s="86">
        <v>9.94</v>
      </c>
      <c r="L176" s="36">
        <v>9.84</v>
      </c>
      <c r="M176" s="39">
        <v>4.63</v>
      </c>
      <c r="N176" s="39">
        <v>5.21</v>
      </c>
      <c r="O176" s="36">
        <v>0.104</v>
      </c>
      <c r="P176" s="86">
        <v>8.1199999999999992</v>
      </c>
      <c r="Q176" s="36">
        <v>8.11</v>
      </c>
      <c r="R176" s="36">
        <v>2.99</v>
      </c>
      <c r="S176" s="36">
        <v>5.12</v>
      </c>
      <c r="T176" s="36">
        <v>6.2399999999999999E-3</v>
      </c>
      <c r="U176" s="86">
        <v>1.82</v>
      </c>
      <c r="V176" s="36">
        <v>1.72</v>
      </c>
      <c r="W176" s="36">
        <v>1.64</v>
      </c>
      <c r="X176" s="36">
        <v>8.9200000000000002E-2</v>
      </c>
      <c r="Y176" s="36">
        <v>9.7699999999999995E-2</v>
      </c>
      <c r="Z176" s="50">
        <v>0.39500000000000002</v>
      </c>
      <c r="AA176" s="31">
        <v>0.316</v>
      </c>
      <c r="AB176" s="31">
        <v>7.9799999999999996E-2</v>
      </c>
      <c r="AC176" s="340">
        <v>0.44900000000000001</v>
      </c>
      <c r="AD176" s="332" t="s">
        <v>1734</v>
      </c>
      <c r="AE176" s="30" t="s">
        <v>1735</v>
      </c>
    </row>
    <row r="177" spans="1:31" s="377" customFormat="1" ht="12.75" customHeight="1" outlineLevel="1">
      <c r="A177" s="365" t="s">
        <v>1736</v>
      </c>
      <c r="B177" s="692" t="s">
        <v>1737</v>
      </c>
      <c r="C177" s="60" t="s">
        <v>1738</v>
      </c>
      <c r="D177" s="61" t="s">
        <v>1732</v>
      </c>
      <c r="E177" s="60" t="s">
        <v>1733</v>
      </c>
      <c r="F177" s="63">
        <v>424</v>
      </c>
      <c r="G177" s="63" t="s">
        <v>268</v>
      </c>
      <c r="H177" s="64">
        <v>744</v>
      </c>
      <c r="I177" s="65">
        <v>638</v>
      </c>
      <c r="J177" s="105">
        <v>106</v>
      </c>
      <c r="K177" s="66">
        <v>7.27</v>
      </c>
      <c r="L177" s="107">
        <v>7.17</v>
      </c>
      <c r="M177" s="107">
        <v>2</v>
      </c>
      <c r="N177" s="107">
        <v>5.17</v>
      </c>
      <c r="O177" s="107">
        <v>0.104</v>
      </c>
      <c r="P177" s="66">
        <v>5.67</v>
      </c>
      <c r="Q177" s="107">
        <v>5.66</v>
      </c>
      <c r="R177" s="107">
        <v>0.54900000000000004</v>
      </c>
      <c r="S177" s="107">
        <v>5.1100000000000003</v>
      </c>
      <c r="T177" s="107">
        <v>6.2399999999999999E-3</v>
      </c>
      <c r="U177" s="66">
        <v>1.6</v>
      </c>
      <c r="V177" s="107">
        <v>1.51</v>
      </c>
      <c r="W177" s="107">
        <v>1.45</v>
      </c>
      <c r="X177" s="107">
        <v>5.3999999999999999E-2</v>
      </c>
      <c r="Y177" s="107">
        <v>9.7699999999999995E-2</v>
      </c>
      <c r="Z177" s="111">
        <v>0.28100000000000003</v>
      </c>
      <c r="AA177" s="68">
        <v>0.20100000000000001</v>
      </c>
      <c r="AB177" s="68">
        <v>7.9799999999999996E-2</v>
      </c>
      <c r="AC177" s="349">
        <v>0.44800000000000001</v>
      </c>
      <c r="AD177" s="351" t="s">
        <v>1739</v>
      </c>
      <c r="AE177" s="60" t="s">
        <v>1735</v>
      </c>
    </row>
    <row r="178" spans="1:31" s="325" customFormat="1">
      <c r="A178" s="374" t="s">
        <v>1740</v>
      </c>
      <c r="B178" s="217" t="s">
        <v>1741</v>
      </c>
      <c r="C178" s="30" t="s">
        <v>1742</v>
      </c>
      <c r="D178" s="88" t="s">
        <v>1732</v>
      </c>
      <c r="E178" s="30" t="s">
        <v>1733</v>
      </c>
      <c r="F178" s="32">
        <v>823</v>
      </c>
      <c r="G178" s="32" t="s">
        <v>268</v>
      </c>
      <c r="H178" s="33">
        <v>1970</v>
      </c>
      <c r="I178" s="34">
        <v>1870</v>
      </c>
      <c r="J178" s="49">
        <v>106</v>
      </c>
      <c r="K178" s="86">
        <v>14.3</v>
      </c>
      <c r="L178" s="36">
        <v>14.2</v>
      </c>
      <c r="M178" s="39">
        <v>8.77</v>
      </c>
      <c r="N178" s="39">
        <v>5.45</v>
      </c>
      <c r="O178" s="36">
        <v>0.104</v>
      </c>
      <c r="P178" s="86">
        <v>9.25</v>
      </c>
      <c r="Q178" s="36">
        <v>9.25</v>
      </c>
      <c r="R178" s="36">
        <v>4.7300000000000004</v>
      </c>
      <c r="S178" s="36">
        <v>4.5199999999999996</v>
      </c>
      <c r="T178" s="36">
        <v>6.2399999999999999E-3</v>
      </c>
      <c r="U178" s="86">
        <v>5.08</v>
      </c>
      <c r="V178" s="36">
        <v>4.9800000000000004</v>
      </c>
      <c r="W178" s="36">
        <v>4.05</v>
      </c>
      <c r="X178" s="36">
        <v>0.93300000000000005</v>
      </c>
      <c r="Y178" s="36">
        <v>9.7699999999999995E-2</v>
      </c>
      <c r="Z178" s="50">
        <v>1.02</v>
      </c>
      <c r="AA178" s="31">
        <v>0.94199999999999995</v>
      </c>
      <c r="AB178" s="31">
        <v>7.9799999999999996E-2</v>
      </c>
      <c r="AC178" s="308">
        <v>0.41</v>
      </c>
      <c r="AD178" s="332" t="s">
        <v>1743</v>
      </c>
      <c r="AE178" s="30" t="s">
        <v>1735</v>
      </c>
    </row>
    <row r="179" spans="1:31" s="305" customFormat="1">
      <c r="A179" s="323" t="s">
        <v>1744</v>
      </c>
      <c r="B179" s="217" t="s">
        <v>1745</v>
      </c>
      <c r="C179" s="45" t="s">
        <v>1746</v>
      </c>
      <c r="D179" s="44" t="s">
        <v>1747</v>
      </c>
      <c r="E179" s="30" t="s">
        <v>1748</v>
      </c>
      <c r="F179" s="47">
        <v>955</v>
      </c>
      <c r="G179" s="47" t="s">
        <v>268</v>
      </c>
      <c r="H179" s="33">
        <v>1770</v>
      </c>
      <c r="I179" s="85">
        <v>1700</v>
      </c>
      <c r="J179" s="49">
        <v>68.400000000000006</v>
      </c>
      <c r="K179" s="86">
        <v>11.2</v>
      </c>
      <c r="L179" s="307">
        <v>11.1</v>
      </c>
      <c r="M179" s="39">
        <v>5.63</v>
      </c>
      <c r="N179" s="39">
        <v>5.44</v>
      </c>
      <c r="O179" s="36">
        <v>9.6000000000000002E-2</v>
      </c>
      <c r="P179" s="86">
        <v>7.05</v>
      </c>
      <c r="Q179" s="307">
        <v>7.04</v>
      </c>
      <c r="R179" s="36">
        <v>1.86</v>
      </c>
      <c r="S179" s="36">
        <v>5.18</v>
      </c>
      <c r="T179" s="36">
        <v>6.1399999999999996E-3</v>
      </c>
      <c r="U179" s="86">
        <v>4.12</v>
      </c>
      <c r="V179" s="307">
        <v>4.04</v>
      </c>
      <c r="W179" s="36">
        <v>3.77</v>
      </c>
      <c r="X179" s="36">
        <v>0.26</v>
      </c>
      <c r="Y179" s="36">
        <v>8.9899999999999994E-2</v>
      </c>
      <c r="Z179" s="50">
        <v>1.07</v>
      </c>
      <c r="AA179" s="78">
        <v>1.03</v>
      </c>
      <c r="AB179" s="31">
        <v>4.41E-2</v>
      </c>
      <c r="AC179" s="308">
        <v>0.45500000000000002</v>
      </c>
      <c r="AD179" s="109" t="s">
        <v>1749</v>
      </c>
      <c r="AE179" s="30" t="s">
        <v>1750</v>
      </c>
    </row>
    <row r="180" spans="1:31" s="305" customFormat="1">
      <c r="A180" s="323" t="s">
        <v>1751</v>
      </c>
      <c r="B180" s="217" t="s">
        <v>1752</v>
      </c>
      <c r="C180" s="45" t="s">
        <v>1753</v>
      </c>
      <c r="D180" s="88" t="s">
        <v>1754</v>
      </c>
      <c r="E180" s="30" t="s">
        <v>1755</v>
      </c>
      <c r="F180" s="47">
        <v>400</v>
      </c>
      <c r="G180" s="47" t="s">
        <v>268</v>
      </c>
      <c r="H180" s="33">
        <v>770</v>
      </c>
      <c r="I180" s="85">
        <v>685</v>
      </c>
      <c r="J180" s="49">
        <v>85.2</v>
      </c>
      <c r="K180" s="86">
        <v>3.31</v>
      </c>
      <c r="L180" s="307">
        <v>3.13</v>
      </c>
      <c r="M180" s="39">
        <v>1.59</v>
      </c>
      <c r="N180" s="39">
        <v>1.54</v>
      </c>
      <c r="O180" s="36">
        <v>0.18</v>
      </c>
      <c r="P180" s="86">
        <v>2.04</v>
      </c>
      <c r="Q180" s="307">
        <v>2.0299999999999998</v>
      </c>
      <c r="R180" s="36">
        <v>0.49199999999999999</v>
      </c>
      <c r="S180" s="36">
        <v>1.54</v>
      </c>
      <c r="T180" s="36">
        <v>9.7699999999999992E-3</v>
      </c>
      <c r="U180" s="72">
        <v>1.27</v>
      </c>
      <c r="V180" s="307">
        <v>1.1000000000000001</v>
      </c>
      <c r="W180" s="36">
        <v>1.1000000000000001</v>
      </c>
      <c r="X180" s="36">
        <v>0</v>
      </c>
      <c r="Y180" s="36">
        <v>0.17</v>
      </c>
      <c r="Z180" s="50">
        <v>0.53400000000000003</v>
      </c>
      <c r="AA180" s="78">
        <v>0.498</v>
      </c>
      <c r="AB180" s="52">
        <v>3.5700000000000003E-2</v>
      </c>
      <c r="AC180" s="308">
        <v>0.13800000000000001</v>
      </c>
      <c r="AD180" s="109" t="s">
        <v>1756</v>
      </c>
      <c r="AE180" s="30" t="s">
        <v>1757</v>
      </c>
    </row>
    <row r="181" spans="1:31" s="305" customFormat="1">
      <c r="A181" s="56">
        <v>7.0250000000000004</v>
      </c>
      <c r="B181" s="1228" t="s">
        <v>3903</v>
      </c>
      <c r="C181" s="30" t="s">
        <v>3904</v>
      </c>
      <c r="D181" s="88"/>
      <c r="E181" s="30"/>
      <c r="F181" s="32"/>
      <c r="G181" s="32"/>
      <c r="H181" s="33"/>
      <c r="I181" s="34"/>
      <c r="J181" s="49"/>
      <c r="K181" s="86"/>
      <c r="L181" s="36"/>
      <c r="M181" s="39"/>
      <c r="N181" s="39"/>
      <c r="O181" s="36"/>
      <c r="P181" s="86"/>
      <c r="Q181" s="36"/>
      <c r="R181" s="36"/>
      <c r="S181" s="36"/>
      <c r="T181" s="36"/>
      <c r="U181" s="72"/>
      <c r="V181" s="36"/>
      <c r="W181" s="36"/>
      <c r="X181" s="36"/>
      <c r="Y181" s="36"/>
      <c r="Z181" s="50"/>
      <c r="AA181" s="31"/>
      <c r="AB181" s="52"/>
      <c r="AC181" s="36"/>
      <c r="AD181" s="1355" t="s">
        <v>3905</v>
      </c>
      <c r="AE181" s="30"/>
    </row>
    <row r="182" spans="1:31" s="305" customFormat="1">
      <c r="A182" s="1356" t="s">
        <v>3906</v>
      </c>
      <c r="B182" s="1354" t="s">
        <v>3907</v>
      </c>
      <c r="C182" s="60" t="s">
        <v>3908</v>
      </c>
      <c r="D182" s="61"/>
      <c r="E182" s="60"/>
      <c r="F182" s="63">
        <v>12.6</v>
      </c>
      <c r="G182" s="63" t="s">
        <v>268</v>
      </c>
      <c r="H182" s="64">
        <v>964</v>
      </c>
      <c r="I182" s="65">
        <v>964</v>
      </c>
      <c r="J182" s="105">
        <v>0</v>
      </c>
      <c r="K182" s="66">
        <v>7.79</v>
      </c>
      <c r="L182" s="107">
        <v>7.79</v>
      </c>
      <c r="M182" s="107">
        <v>3.08</v>
      </c>
      <c r="N182" s="107">
        <v>4.71</v>
      </c>
      <c r="O182" s="107">
        <v>0</v>
      </c>
      <c r="P182" s="66">
        <v>5.51</v>
      </c>
      <c r="Q182" s="107">
        <v>5.51</v>
      </c>
      <c r="R182" s="107">
        <v>0.80200000000000005</v>
      </c>
      <c r="S182" s="107">
        <v>4.71</v>
      </c>
      <c r="T182" s="107">
        <v>0</v>
      </c>
      <c r="U182" s="66">
        <v>2.2799999999999998</v>
      </c>
      <c r="V182" s="107">
        <v>2.2799999999999998</v>
      </c>
      <c r="W182" s="107">
        <v>2.2799999999999998</v>
      </c>
      <c r="X182" s="107">
        <v>0</v>
      </c>
      <c r="Y182" s="107">
        <v>0</v>
      </c>
      <c r="Z182" s="111">
        <v>0.29599999999999999</v>
      </c>
      <c r="AA182" s="68">
        <v>0.29599999999999999</v>
      </c>
      <c r="AB182" s="68">
        <v>0</v>
      </c>
      <c r="AC182" s="68">
        <v>0.41299999999999998</v>
      </c>
      <c r="AD182" s="1357" t="s">
        <v>3909</v>
      </c>
      <c r="AE182" s="60"/>
    </row>
    <row r="183" spans="1:31" s="325" customFormat="1">
      <c r="A183" s="374" t="s">
        <v>1758</v>
      </c>
      <c r="B183" s="217" t="s">
        <v>1759</v>
      </c>
      <c r="C183" s="30" t="s">
        <v>1760</v>
      </c>
      <c r="D183" s="88" t="s">
        <v>1747</v>
      </c>
      <c r="E183" s="30" t="s">
        <v>1748</v>
      </c>
      <c r="F183" s="32">
        <v>436</v>
      </c>
      <c r="G183" s="32" t="s">
        <v>268</v>
      </c>
      <c r="H183" s="33">
        <v>689</v>
      </c>
      <c r="I183" s="34">
        <v>620</v>
      </c>
      <c r="J183" s="49">
        <v>68.400000000000006</v>
      </c>
      <c r="K183" s="86">
        <v>9.5299999999999994</v>
      </c>
      <c r="L183" s="36">
        <v>9.43</v>
      </c>
      <c r="M183" s="39">
        <v>4.2699999999999996</v>
      </c>
      <c r="N183" s="39">
        <v>5.16</v>
      </c>
      <c r="O183" s="36">
        <v>9.6000000000000002E-2</v>
      </c>
      <c r="P183" s="86">
        <v>8.2799999999999994</v>
      </c>
      <c r="Q183" s="36">
        <v>8.2799999999999994</v>
      </c>
      <c r="R183" s="36">
        <v>3.13</v>
      </c>
      <c r="S183" s="36">
        <v>5.15</v>
      </c>
      <c r="T183" s="36">
        <v>6.1399999999999996E-3</v>
      </c>
      <c r="U183" s="72">
        <v>1.24</v>
      </c>
      <c r="V183" s="36">
        <v>1.1499999999999999</v>
      </c>
      <c r="W183" s="36">
        <v>1.1399999999999999</v>
      </c>
      <c r="X183" s="36">
        <v>1.0500000000000001E-2</v>
      </c>
      <c r="Y183" s="36">
        <v>8.9899999999999994E-2</v>
      </c>
      <c r="Z183" s="50">
        <v>0.28799999999999998</v>
      </c>
      <c r="AA183" s="31">
        <v>0.24399999999999999</v>
      </c>
      <c r="AB183" s="52">
        <v>4.41E-2</v>
      </c>
      <c r="AC183" s="308">
        <v>0.45</v>
      </c>
      <c r="AD183" s="332" t="s">
        <v>1761</v>
      </c>
      <c r="AE183" s="30" t="s">
        <v>1750</v>
      </c>
    </row>
    <row r="184" spans="1:31" s="305" customFormat="1">
      <c r="A184" s="323" t="s">
        <v>1762</v>
      </c>
      <c r="B184" s="217" t="s">
        <v>1763</v>
      </c>
      <c r="C184" s="45" t="s">
        <v>1764</v>
      </c>
      <c r="D184" s="44" t="s">
        <v>1765</v>
      </c>
      <c r="E184" s="30" t="s">
        <v>1766</v>
      </c>
      <c r="F184" s="47">
        <v>675</v>
      </c>
      <c r="G184" s="47" t="s">
        <v>268</v>
      </c>
      <c r="H184" s="33">
        <v>436</v>
      </c>
      <c r="I184" s="85">
        <v>373</v>
      </c>
      <c r="J184" s="49">
        <v>62.9</v>
      </c>
      <c r="K184" s="86">
        <v>7.94</v>
      </c>
      <c r="L184" s="307">
        <v>7.85</v>
      </c>
      <c r="M184" s="39">
        <v>2.9</v>
      </c>
      <c r="N184" s="39">
        <v>4.95</v>
      </c>
      <c r="O184" s="36">
        <v>9.4899999999999998E-2</v>
      </c>
      <c r="P184" s="86">
        <v>7.28</v>
      </c>
      <c r="Q184" s="307">
        <v>7.27</v>
      </c>
      <c r="R184" s="36">
        <v>2.3199999999999998</v>
      </c>
      <c r="S184" s="36">
        <v>4.95</v>
      </c>
      <c r="T184" s="36">
        <v>6.1199999999999996E-3</v>
      </c>
      <c r="U184" s="72">
        <v>0.66200000000000003</v>
      </c>
      <c r="V184" s="307">
        <v>0.57399999999999995</v>
      </c>
      <c r="W184" s="36">
        <v>0.57399999999999995</v>
      </c>
      <c r="X184" s="36">
        <v>0</v>
      </c>
      <c r="Y184" s="36">
        <v>8.8800000000000004E-2</v>
      </c>
      <c r="Z184" s="50">
        <v>0.152</v>
      </c>
      <c r="AA184" s="78">
        <v>0.113</v>
      </c>
      <c r="AB184" s="52">
        <v>3.9E-2</v>
      </c>
      <c r="AC184" s="308">
        <v>0.45100000000000001</v>
      </c>
      <c r="AD184" s="109" t="s">
        <v>1767</v>
      </c>
      <c r="AE184" s="30" t="s">
        <v>1768</v>
      </c>
    </row>
    <row r="185" spans="1:31" s="305" customFormat="1" ht="25.5" customHeight="1" outlineLevel="1">
      <c r="A185" s="318" t="s">
        <v>1769</v>
      </c>
      <c r="B185" s="60" t="s">
        <v>1770</v>
      </c>
      <c r="C185" s="94" t="s">
        <v>1771</v>
      </c>
      <c r="D185" s="94" t="s">
        <v>1765</v>
      </c>
      <c r="E185" s="60" t="s">
        <v>1766</v>
      </c>
      <c r="F185" s="96">
        <v>675</v>
      </c>
      <c r="G185" s="97" t="s">
        <v>268</v>
      </c>
      <c r="H185" s="64">
        <v>396</v>
      </c>
      <c r="I185" s="99">
        <v>333</v>
      </c>
      <c r="J185" s="65">
        <v>62.9</v>
      </c>
      <c r="K185" s="66">
        <v>7.97</v>
      </c>
      <c r="L185" s="319">
        <v>7.87</v>
      </c>
      <c r="M185" s="107">
        <v>2.92</v>
      </c>
      <c r="N185" s="107">
        <v>4.95</v>
      </c>
      <c r="O185" s="107">
        <v>9.4899999999999998E-2</v>
      </c>
      <c r="P185" s="66">
        <v>7.39</v>
      </c>
      <c r="Q185" s="319">
        <v>7.39</v>
      </c>
      <c r="R185" s="107">
        <v>2.44</v>
      </c>
      <c r="S185" s="107">
        <v>4.95</v>
      </c>
      <c r="T185" s="107">
        <v>6.1199999999999996E-3</v>
      </c>
      <c r="U185" s="66">
        <v>0.57199999999999995</v>
      </c>
      <c r="V185" s="319">
        <v>0.48299999999999998</v>
      </c>
      <c r="W185" s="107">
        <v>0.48299999999999998</v>
      </c>
      <c r="X185" s="107">
        <v>0</v>
      </c>
      <c r="Y185" s="107">
        <v>8.8800000000000004E-2</v>
      </c>
      <c r="Z185" s="69">
        <v>0.122</v>
      </c>
      <c r="AA185" s="102">
        <v>8.3299999999999999E-2</v>
      </c>
      <c r="AB185" s="70">
        <v>3.9E-2</v>
      </c>
      <c r="AC185" s="321">
        <v>0.45100000000000001</v>
      </c>
      <c r="AD185" s="375" t="s">
        <v>1772</v>
      </c>
      <c r="AE185" s="60" t="s">
        <v>1768</v>
      </c>
    </row>
    <row r="186" spans="1:31" s="305" customFormat="1">
      <c r="A186" s="323" t="s">
        <v>1773</v>
      </c>
      <c r="B186" s="217" t="s">
        <v>1774</v>
      </c>
      <c r="C186" s="45" t="s">
        <v>1775</v>
      </c>
      <c r="D186" s="44" t="s">
        <v>1765</v>
      </c>
      <c r="E186" s="30" t="s">
        <v>1766</v>
      </c>
      <c r="F186" s="47">
        <v>675</v>
      </c>
      <c r="G186" s="47" t="s">
        <v>268</v>
      </c>
      <c r="H186" s="33">
        <v>392</v>
      </c>
      <c r="I186" s="85">
        <v>329</v>
      </c>
      <c r="J186" s="49">
        <v>62.9</v>
      </c>
      <c r="K186" s="86">
        <v>7.68</v>
      </c>
      <c r="L186" s="307">
        <v>7.59</v>
      </c>
      <c r="M186" s="39">
        <v>2.64</v>
      </c>
      <c r="N186" s="39">
        <v>4.95</v>
      </c>
      <c r="O186" s="36">
        <v>9.4899999999999998E-2</v>
      </c>
      <c r="P186" s="86">
        <v>7.12</v>
      </c>
      <c r="Q186" s="307">
        <v>7.11</v>
      </c>
      <c r="R186" s="36">
        <v>2.16</v>
      </c>
      <c r="S186" s="36">
        <v>4.95</v>
      </c>
      <c r="T186" s="36">
        <v>6.1199999999999996E-3</v>
      </c>
      <c r="U186" s="72">
        <v>0.56799999999999995</v>
      </c>
      <c r="V186" s="307">
        <v>0.47899999999999998</v>
      </c>
      <c r="W186" s="36">
        <v>0.47899999999999998</v>
      </c>
      <c r="X186" s="36">
        <v>0</v>
      </c>
      <c r="Y186" s="36">
        <v>8.8800000000000004E-2</v>
      </c>
      <c r="Z186" s="50">
        <v>0.13500000000000001</v>
      </c>
      <c r="AA186" s="78">
        <v>9.6199999999999994E-2</v>
      </c>
      <c r="AB186" s="52">
        <v>3.9E-2</v>
      </c>
      <c r="AC186" s="308">
        <v>0.45100000000000001</v>
      </c>
      <c r="AD186" s="109" t="s">
        <v>1776</v>
      </c>
      <c r="AE186" s="30" t="s">
        <v>1768</v>
      </c>
    </row>
    <row r="187" spans="1:31" s="305" customFormat="1" ht="25.5" customHeight="1" outlineLevel="1">
      <c r="A187" s="318" t="s">
        <v>1777</v>
      </c>
      <c r="B187" s="60" t="s">
        <v>1778</v>
      </c>
      <c r="C187" s="94" t="s">
        <v>1779</v>
      </c>
      <c r="D187" s="94" t="s">
        <v>1765</v>
      </c>
      <c r="E187" s="60" t="s">
        <v>1766</v>
      </c>
      <c r="F187" s="96">
        <v>675</v>
      </c>
      <c r="G187" s="97" t="s">
        <v>268</v>
      </c>
      <c r="H187" s="64">
        <v>356</v>
      </c>
      <c r="I187" s="99">
        <v>293</v>
      </c>
      <c r="J187" s="65">
        <v>62.9</v>
      </c>
      <c r="K187" s="66">
        <v>7.71</v>
      </c>
      <c r="L187" s="319">
        <v>7.61</v>
      </c>
      <c r="M187" s="107">
        <v>2.66</v>
      </c>
      <c r="N187" s="107">
        <v>4.95</v>
      </c>
      <c r="O187" s="107">
        <v>9.4899999999999998E-2</v>
      </c>
      <c r="P187" s="66">
        <v>7.22</v>
      </c>
      <c r="Q187" s="319">
        <v>7.22</v>
      </c>
      <c r="R187" s="107">
        <v>2.27</v>
      </c>
      <c r="S187" s="107">
        <v>4.95</v>
      </c>
      <c r="T187" s="107">
        <v>6.1199999999999996E-3</v>
      </c>
      <c r="U187" s="66">
        <v>0.48499999999999999</v>
      </c>
      <c r="V187" s="319">
        <v>0.39600000000000002</v>
      </c>
      <c r="W187" s="107">
        <v>0.39600000000000002</v>
      </c>
      <c r="X187" s="107">
        <v>0</v>
      </c>
      <c r="Y187" s="107">
        <v>8.8800000000000004E-2</v>
      </c>
      <c r="Z187" s="69">
        <v>0.109</v>
      </c>
      <c r="AA187" s="102">
        <v>7.0000000000000007E-2</v>
      </c>
      <c r="AB187" s="70">
        <v>3.9E-2</v>
      </c>
      <c r="AC187" s="321">
        <v>0.45100000000000001</v>
      </c>
      <c r="AD187" s="375" t="s">
        <v>1780</v>
      </c>
      <c r="AE187" s="60" t="s">
        <v>1768</v>
      </c>
    </row>
    <row r="188" spans="1:31" s="305" customFormat="1">
      <c r="A188" s="323" t="s">
        <v>1781</v>
      </c>
      <c r="B188" s="217" t="s">
        <v>1782</v>
      </c>
      <c r="C188" s="45" t="s">
        <v>1783</v>
      </c>
      <c r="D188" s="88" t="s">
        <v>1765</v>
      </c>
      <c r="E188" s="30" t="s">
        <v>1766</v>
      </c>
      <c r="F188" s="47">
        <v>705</v>
      </c>
      <c r="G188" s="47" t="s">
        <v>268</v>
      </c>
      <c r="H188" s="33">
        <v>323</v>
      </c>
      <c r="I188" s="85">
        <v>260</v>
      </c>
      <c r="J188" s="49">
        <v>62.9</v>
      </c>
      <c r="K188" s="86">
        <v>6.68</v>
      </c>
      <c r="L188" s="307">
        <v>6.59</v>
      </c>
      <c r="M188" s="39">
        <v>2.0499999999999998</v>
      </c>
      <c r="N188" s="39">
        <v>4.54</v>
      </c>
      <c r="O188" s="36">
        <v>9.4899999999999998E-2</v>
      </c>
      <c r="P188" s="86">
        <v>6.21</v>
      </c>
      <c r="Q188" s="307">
        <v>6.2</v>
      </c>
      <c r="R188" s="36">
        <v>1.66</v>
      </c>
      <c r="S188" s="36">
        <v>4.54</v>
      </c>
      <c r="T188" s="36">
        <v>6.1199999999999996E-3</v>
      </c>
      <c r="U188" s="72">
        <v>0.47799999999999998</v>
      </c>
      <c r="V188" s="307">
        <v>0.39</v>
      </c>
      <c r="W188" s="36">
        <v>0.39</v>
      </c>
      <c r="X188" s="36">
        <v>0</v>
      </c>
      <c r="Y188" s="36">
        <v>8.8800000000000004E-2</v>
      </c>
      <c r="Z188" s="51">
        <v>0.12</v>
      </c>
      <c r="AA188" s="83">
        <v>8.1199999999999994E-2</v>
      </c>
      <c r="AB188" s="53">
        <v>3.9E-2</v>
      </c>
      <c r="AC188" s="308">
        <v>0.41299999999999998</v>
      </c>
      <c r="AD188" s="109" t="s">
        <v>1784</v>
      </c>
      <c r="AE188" s="30" t="s">
        <v>1768</v>
      </c>
    </row>
    <row r="189" spans="1:31" s="305" customFormat="1" ht="25.5" customHeight="1" outlineLevel="1">
      <c r="A189" s="318" t="s">
        <v>1785</v>
      </c>
      <c r="B189" s="60" t="s">
        <v>1786</v>
      </c>
      <c r="C189" s="94" t="s">
        <v>1787</v>
      </c>
      <c r="D189" s="60" t="s">
        <v>1765</v>
      </c>
      <c r="E189" s="60" t="s">
        <v>1766</v>
      </c>
      <c r="F189" s="96">
        <v>705</v>
      </c>
      <c r="G189" s="97" t="s">
        <v>268</v>
      </c>
      <c r="H189" s="64">
        <v>290</v>
      </c>
      <c r="I189" s="99">
        <v>227</v>
      </c>
      <c r="J189" s="65">
        <v>62.9</v>
      </c>
      <c r="K189" s="66">
        <v>6.7</v>
      </c>
      <c r="L189" s="319">
        <v>6.61</v>
      </c>
      <c r="M189" s="107">
        <v>2.0699999999999998</v>
      </c>
      <c r="N189" s="107">
        <v>4.54</v>
      </c>
      <c r="O189" s="107">
        <v>9.4899999999999998E-2</v>
      </c>
      <c r="P189" s="66">
        <v>6.3</v>
      </c>
      <c r="Q189" s="319">
        <v>6.29</v>
      </c>
      <c r="R189" s="107">
        <v>1.76</v>
      </c>
      <c r="S189" s="107">
        <v>4.54</v>
      </c>
      <c r="T189" s="107">
        <v>6.1199999999999996E-3</v>
      </c>
      <c r="U189" s="66">
        <v>0.40200000000000002</v>
      </c>
      <c r="V189" s="319">
        <v>0.314</v>
      </c>
      <c r="W189" s="107">
        <v>0.314</v>
      </c>
      <c r="X189" s="107">
        <v>0</v>
      </c>
      <c r="Y189" s="107">
        <v>8.8800000000000004E-2</v>
      </c>
      <c r="Z189" s="69">
        <v>9.7900000000000001E-2</v>
      </c>
      <c r="AA189" s="102">
        <v>5.8900000000000001E-2</v>
      </c>
      <c r="AB189" s="70">
        <v>3.9E-2</v>
      </c>
      <c r="AC189" s="321">
        <v>0.41299999999999998</v>
      </c>
      <c r="AD189" s="375" t="s">
        <v>1788</v>
      </c>
      <c r="AE189" s="60" t="s">
        <v>1768</v>
      </c>
    </row>
    <row r="190" spans="1:31" s="305" customFormat="1">
      <c r="A190" s="323" t="s">
        <v>651</v>
      </c>
      <c r="B190" s="217" t="s">
        <v>1789</v>
      </c>
      <c r="C190" s="45" t="s">
        <v>1790</v>
      </c>
      <c r="D190" s="88" t="s">
        <v>1765</v>
      </c>
      <c r="E190" s="30" t="s">
        <v>1766</v>
      </c>
      <c r="F190" s="47">
        <v>465</v>
      </c>
      <c r="G190" s="47" t="s">
        <v>268</v>
      </c>
      <c r="H190" s="33">
        <v>476</v>
      </c>
      <c r="I190" s="85">
        <v>413</v>
      </c>
      <c r="J190" s="49">
        <v>62.9</v>
      </c>
      <c r="K190" s="86">
        <v>6.83</v>
      </c>
      <c r="L190" s="307">
        <v>6.73</v>
      </c>
      <c r="M190" s="39">
        <v>1.58</v>
      </c>
      <c r="N190" s="39">
        <v>5.15</v>
      </c>
      <c r="O190" s="36">
        <v>9.4899999999999998E-2</v>
      </c>
      <c r="P190" s="86">
        <v>6.05</v>
      </c>
      <c r="Q190" s="307">
        <v>6.04</v>
      </c>
      <c r="R190" s="36">
        <v>0.89100000000000001</v>
      </c>
      <c r="S190" s="36">
        <v>5.15</v>
      </c>
      <c r="T190" s="36">
        <v>6.1199999999999996E-3</v>
      </c>
      <c r="U190" s="72">
        <v>0.77700000000000002</v>
      </c>
      <c r="V190" s="307">
        <v>0.68799999999999994</v>
      </c>
      <c r="W190" s="36">
        <v>0.68799999999999994</v>
      </c>
      <c r="X190" s="36">
        <v>0</v>
      </c>
      <c r="Y190" s="36">
        <v>8.8800000000000004E-2</v>
      </c>
      <c r="Z190" s="50">
        <v>0.17299999999999999</v>
      </c>
      <c r="AA190" s="78">
        <v>0.13400000000000001</v>
      </c>
      <c r="AB190" s="52">
        <v>3.9E-2</v>
      </c>
      <c r="AC190" s="308">
        <v>0.45100000000000001</v>
      </c>
      <c r="AD190" s="109" t="s">
        <v>1791</v>
      </c>
      <c r="AE190" s="30" t="s">
        <v>1768</v>
      </c>
    </row>
    <row r="191" spans="1:31" s="305" customFormat="1" ht="25.5" customHeight="1" outlineLevel="1">
      <c r="A191" s="318" t="s">
        <v>1792</v>
      </c>
      <c r="B191" s="60" t="s">
        <v>1793</v>
      </c>
      <c r="C191" s="94" t="s">
        <v>1794</v>
      </c>
      <c r="D191" s="60" t="s">
        <v>1765</v>
      </c>
      <c r="E191" s="60" t="s">
        <v>1766</v>
      </c>
      <c r="F191" s="96">
        <v>465</v>
      </c>
      <c r="G191" s="97" t="s">
        <v>268</v>
      </c>
      <c r="H191" s="64">
        <v>459</v>
      </c>
      <c r="I191" s="99">
        <v>396</v>
      </c>
      <c r="J191" s="65">
        <v>62.9</v>
      </c>
      <c r="K191" s="66">
        <v>6.67</v>
      </c>
      <c r="L191" s="319">
        <v>6.57</v>
      </c>
      <c r="M191" s="107">
        <v>1.42</v>
      </c>
      <c r="N191" s="107">
        <v>5.15</v>
      </c>
      <c r="O191" s="107">
        <v>9.4899999999999998E-2</v>
      </c>
      <c r="P191" s="66">
        <v>5.93</v>
      </c>
      <c r="Q191" s="319">
        <v>5.93</v>
      </c>
      <c r="R191" s="107">
        <v>0.77600000000000002</v>
      </c>
      <c r="S191" s="107">
        <v>5.15</v>
      </c>
      <c r="T191" s="107">
        <v>6.1199999999999996E-3</v>
      </c>
      <c r="U191" s="66">
        <v>0.73299999999999998</v>
      </c>
      <c r="V191" s="319">
        <v>0.64400000000000002</v>
      </c>
      <c r="W191" s="107">
        <v>0.64400000000000002</v>
      </c>
      <c r="X191" s="107">
        <v>0</v>
      </c>
      <c r="Y191" s="107">
        <v>8.8800000000000004E-2</v>
      </c>
      <c r="Z191" s="69">
        <v>0.156</v>
      </c>
      <c r="AA191" s="102">
        <v>0.11700000000000001</v>
      </c>
      <c r="AB191" s="70">
        <v>3.9E-2</v>
      </c>
      <c r="AC191" s="321">
        <v>0.45100000000000001</v>
      </c>
      <c r="AD191" s="375" t="s">
        <v>1795</v>
      </c>
      <c r="AE191" s="60" t="s">
        <v>1768</v>
      </c>
    </row>
    <row r="192" spans="1:31" s="305" customFormat="1" ht="12.75" customHeight="1" outlineLevel="1">
      <c r="A192" s="318" t="s">
        <v>1796</v>
      </c>
      <c r="B192" s="60" t="s">
        <v>1797</v>
      </c>
      <c r="C192" s="94" t="s">
        <v>1798</v>
      </c>
      <c r="D192" s="60" t="s">
        <v>1765</v>
      </c>
      <c r="E192" s="60" t="s">
        <v>1766</v>
      </c>
      <c r="F192" s="96">
        <v>420</v>
      </c>
      <c r="G192" s="97" t="s">
        <v>268</v>
      </c>
      <c r="H192" s="64">
        <v>430</v>
      </c>
      <c r="I192" s="99">
        <v>367</v>
      </c>
      <c r="J192" s="65">
        <v>62.9</v>
      </c>
      <c r="K192" s="66">
        <v>10.4</v>
      </c>
      <c r="L192" s="319">
        <v>10.3</v>
      </c>
      <c r="M192" s="107">
        <v>5</v>
      </c>
      <c r="N192" s="107">
        <v>5.35</v>
      </c>
      <c r="O192" s="107">
        <v>9.4899999999999998E-2</v>
      </c>
      <c r="P192" s="66">
        <v>9.98</v>
      </c>
      <c r="Q192" s="319">
        <v>9.9700000000000006</v>
      </c>
      <c r="R192" s="107">
        <v>4.62</v>
      </c>
      <c r="S192" s="107">
        <v>5.35</v>
      </c>
      <c r="T192" s="107">
        <v>6.1199999999999996E-3</v>
      </c>
      <c r="U192" s="66">
        <v>0.46700000000000003</v>
      </c>
      <c r="V192" s="319">
        <v>0.379</v>
      </c>
      <c r="W192" s="107">
        <v>0.379</v>
      </c>
      <c r="X192" s="107">
        <v>0</v>
      </c>
      <c r="Y192" s="107">
        <v>8.8800000000000004E-2</v>
      </c>
      <c r="Z192" s="69">
        <v>0.13300000000000001</v>
      </c>
      <c r="AA192" s="102">
        <v>9.4399999999999998E-2</v>
      </c>
      <c r="AB192" s="70">
        <v>3.9E-2</v>
      </c>
      <c r="AC192" s="321">
        <v>0.45100000000000001</v>
      </c>
      <c r="AD192" s="375" t="s">
        <v>1799</v>
      </c>
      <c r="AE192" s="60" t="s">
        <v>1768</v>
      </c>
    </row>
    <row r="193" spans="1:31" s="305" customFormat="1">
      <c r="A193" s="323" t="s">
        <v>1800</v>
      </c>
      <c r="B193" s="217" t="s">
        <v>1801</v>
      </c>
      <c r="C193" s="45" t="s">
        <v>1802</v>
      </c>
      <c r="D193" s="88" t="s">
        <v>1765</v>
      </c>
      <c r="E193" s="30" t="s">
        <v>1766</v>
      </c>
      <c r="F193" s="47">
        <v>485</v>
      </c>
      <c r="G193" s="47" t="s">
        <v>268</v>
      </c>
      <c r="H193" s="33">
        <v>401</v>
      </c>
      <c r="I193" s="85">
        <v>338</v>
      </c>
      <c r="J193" s="49">
        <v>62.9</v>
      </c>
      <c r="K193" s="86">
        <v>5.89</v>
      </c>
      <c r="L193" s="307">
        <v>5.79</v>
      </c>
      <c r="M193" s="39">
        <v>1.07</v>
      </c>
      <c r="N193" s="39">
        <v>4.72</v>
      </c>
      <c r="O193" s="36">
        <v>9.4899999999999998E-2</v>
      </c>
      <c r="P193" s="86">
        <v>5.21</v>
      </c>
      <c r="Q193" s="307">
        <v>5.21</v>
      </c>
      <c r="R193" s="36">
        <v>0.48499999999999999</v>
      </c>
      <c r="S193" s="36">
        <v>4.72</v>
      </c>
      <c r="T193" s="36">
        <v>6.1199999999999996E-3</v>
      </c>
      <c r="U193" s="72">
        <v>0.67300000000000004</v>
      </c>
      <c r="V193" s="307">
        <v>0.58399999999999996</v>
      </c>
      <c r="W193" s="36">
        <v>0.58399999999999996</v>
      </c>
      <c r="X193" s="36">
        <v>0</v>
      </c>
      <c r="Y193" s="36">
        <v>8.8800000000000004E-2</v>
      </c>
      <c r="Z193" s="50">
        <v>0.156</v>
      </c>
      <c r="AA193" s="78">
        <v>0.11700000000000001</v>
      </c>
      <c r="AB193" s="53">
        <v>3.9E-2</v>
      </c>
      <c r="AC193" s="308">
        <v>0.41299999999999998</v>
      </c>
      <c r="AD193" s="109" t="s">
        <v>1803</v>
      </c>
      <c r="AE193" s="30" t="s">
        <v>1768</v>
      </c>
    </row>
    <row r="194" spans="1:31" s="305" customFormat="1" ht="25.5" customHeight="1" outlineLevel="1">
      <c r="A194" s="318" t="s">
        <v>1804</v>
      </c>
      <c r="B194" s="60" t="s">
        <v>1805</v>
      </c>
      <c r="C194" s="94" t="s">
        <v>1806</v>
      </c>
      <c r="D194" s="60" t="s">
        <v>1765</v>
      </c>
      <c r="E194" s="60" t="s">
        <v>1766</v>
      </c>
      <c r="F194" s="96">
        <v>485</v>
      </c>
      <c r="G194" s="97" t="s">
        <v>268</v>
      </c>
      <c r="H194" s="64">
        <v>385</v>
      </c>
      <c r="I194" s="99">
        <v>322</v>
      </c>
      <c r="J194" s="65">
        <v>62.9</v>
      </c>
      <c r="K194" s="66">
        <v>5.74</v>
      </c>
      <c r="L194" s="319">
        <v>5.65</v>
      </c>
      <c r="M194" s="107">
        <v>0.92400000000000004</v>
      </c>
      <c r="N194" s="107">
        <v>4.72</v>
      </c>
      <c r="O194" s="107">
        <v>9.4899999999999998E-2</v>
      </c>
      <c r="P194" s="66">
        <v>5.1100000000000003</v>
      </c>
      <c r="Q194" s="319">
        <v>5.0999999999999996</v>
      </c>
      <c r="R194" s="107">
        <v>0.38</v>
      </c>
      <c r="S194" s="107">
        <v>4.72</v>
      </c>
      <c r="T194" s="107">
        <v>6.1199999999999996E-3</v>
      </c>
      <c r="U194" s="66">
        <v>0.63300000000000001</v>
      </c>
      <c r="V194" s="319">
        <v>0.54400000000000004</v>
      </c>
      <c r="W194" s="107">
        <v>0.54400000000000004</v>
      </c>
      <c r="X194" s="107">
        <v>0</v>
      </c>
      <c r="Y194" s="107">
        <v>8.8800000000000004E-2</v>
      </c>
      <c r="Z194" s="69">
        <v>0.14199999999999999</v>
      </c>
      <c r="AA194" s="102">
        <v>0.10299999999999999</v>
      </c>
      <c r="AB194" s="70">
        <v>3.9E-2</v>
      </c>
      <c r="AC194" s="321">
        <v>0.41299999999999998</v>
      </c>
      <c r="AD194" s="375" t="s">
        <v>1807</v>
      </c>
      <c r="AE194" s="60" t="s">
        <v>1768</v>
      </c>
    </row>
    <row r="195" spans="1:31" s="305" customFormat="1">
      <c r="A195" s="323" t="s">
        <v>619</v>
      </c>
      <c r="B195" s="217" t="s">
        <v>1808</v>
      </c>
      <c r="C195" s="45" t="s">
        <v>1809</v>
      </c>
      <c r="D195" s="88" t="s">
        <v>1765</v>
      </c>
      <c r="E195" s="30" t="s">
        <v>1766</v>
      </c>
      <c r="F195" s="47">
        <v>485</v>
      </c>
      <c r="G195" s="47" t="s">
        <v>268</v>
      </c>
      <c r="H195" s="33">
        <v>317</v>
      </c>
      <c r="I195" s="85">
        <v>254</v>
      </c>
      <c r="J195" s="49">
        <v>62.9</v>
      </c>
      <c r="K195" s="86">
        <v>5.49</v>
      </c>
      <c r="L195" s="307">
        <v>5.39</v>
      </c>
      <c r="M195" s="39">
        <v>0.67</v>
      </c>
      <c r="N195" s="39">
        <v>4.72</v>
      </c>
      <c r="O195" s="36">
        <v>9.4899999999999998E-2</v>
      </c>
      <c r="P195" s="86">
        <v>4.9800000000000004</v>
      </c>
      <c r="Q195" s="307">
        <v>4.97</v>
      </c>
      <c r="R195" s="36">
        <v>0.249</v>
      </c>
      <c r="S195" s="36">
        <v>4.72</v>
      </c>
      <c r="T195" s="36">
        <v>6.1199999999999996E-3</v>
      </c>
      <c r="U195" s="72">
        <v>0.50900000000000001</v>
      </c>
      <c r="V195" s="307">
        <v>0.42099999999999999</v>
      </c>
      <c r="W195" s="36">
        <v>0.42099999999999999</v>
      </c>
      <c r="X195" s="36">
        <v>0</v>
      </c>
      <c r="Y195" s="36">
        <v>8.8800000000000004E-2</v>
      </c>
      <c r="Z195" s="51">
        <v>0.129</v>
      </c>
      <c r="AA195" s="83">
        <v>9.0399999999999994E-2</v>
      </c>
      <c r="AB195" s="53">
        <v>3.9E-2</v>
      </c>
      <c r="AC195" s="308">
        <v>0.41299999999999998</v>
      </c>
      <c r="AD195" s="109" t="s">
        <v>1810</v>
      </c>
      <c r="AE195" s="30" t="s">
        <v>1768</v>
      </c>
    </row>
    <row r="196" spans="1:31" s="305" customFormat="1" ht="25.5" customHeight="1" outlineLevel="1">
      <c r="A196" s="318" t="s">
        <v>1811</v>
      </c>
      <c r="B196" s="60" t="s">
        <v>1812</v>
      </c>
      <c r="C196" s="94" t="s">
        <v>1813</v>
      </c>
      <c r="D196" s="60" t="s">
        <v>1765</v>
      </c>
      <c r="E196" s="60" t="s">
        <v>1766</v>
      </c>
      <c r="F196" s="96">
        <v>485</v>
      </c>
      <c r="G196" s="97" t="s">
        <v>268</v>
      </c>
      <c r="H196" s="64">
        <v>306</v>
      </c>
      <c r="I196" s="99">
        <v>243</v>
      </c>
      <c r="J196" s="65">
        <v>62.9</v>
      </c>
      <c r="K196" s="66">
        <v>5.35</v>
      </c>
      <c r="L196" s="319">
        <v>5.26</v>
      </c>
      <c r="M196" s="107">
        <v>0.54600000000000004</v>
      </c>
      <c r="N196" s="107">
        <v>4.71</v>
      </c>
      <c r="O196" s="107">
        <v>9.4899999999999998E-2</v>
      </c>
      <c r="P196" s="66">
        <v>4.88</v>
      </c>
      <c r="Q196" s="102">
        <v>4.87</v>
      </c>
      <c r="R196" s="107">
        <v>0.157</v>
      </c>
      <c r="S196" s="107">
        <v>4.71</v>
      </c>
      <c r="T196" s="107">
        <v>6.1199999999999996E-3</v>
      </c>
      <c r="U196" s="66">
        <v>0.47799999999999998</v>
      </c>
      <c r="V196" s="319">
        <v>0.38900000000000001</v>
      </c>
      <c r="W196" s="107">
        <v>0.38900000000000001</v>
      </c>
      <c r="X196" s="68">
        <v>0</v>
      </c>
      <c r="Y196" s="107">
        <v>8.8800000000000004E-2</v>
      </c>
      <c r="Z196" s="69">
        <v>0.12</v>
      </c>
      <c r="AA196" s="102">
        <v>8.09E-2</v>
      </c>
      <c r="AB196" s="70">
        <v>3.9E-2</v>
      </c>
      <c r="AC196" s="321">
        <v>0.41299999999999998</v>
      </c>
      <c r="AD196" s="375" t="s">
        <v>1814</v>
      </c>
      <c r="AE196" s="60" t="s">
        <v>1768</v>
      </c>
    </row>
    <row r="197" spans="1:31" s="305" customFormat="1">
      <c r="A197" s="323" t="s">
        <v>1815</v>
      </c>
      <c r="B197" s="217" t="s">
        <v>1816</v>
      </c>
      <c r="C197" s="45" t="s">
        <v>1817</v>
      </c>
      <c r="D197" s="44" t="s">
        <v>1818</v>
      </c>
      <c r="E197" s="30" t="s">
        <v>1819</v>
      </c>
      <c r="F197" s="47">
        <v>685</v>
      </c>
      <c r="G197" s="47" t="s">
        <v>268</v>
      </c>
      <c r="H197" s="33">
        <v>1550</v>
      </c>
      <c r="I197" s="85">
        <v>1420</v>
      </c>
      <c r="J197" s="49">
        <v>128</v>
      </c>
      <c r="K197" s="86">
        <v>10.3</v>
      </c>
      <c r="L197" s="307">
        <v>10.199999999999999</v>
      </c>
      <c r="M197" s="39">
        <v>4.43</v>
      </c>
      <c r="N197" s="39">
        <v>5.79</v>
      </c>
      <c r="O197" s="36">
        <v>0.108</v>
      </c>
      <c r="P197" s="86">
        <v>5.85</v>
      </c>
      <c r="Q197" s="307">
        <v>5.85</v>
      </c>
      <c r="R197" s="36">
        <v>1.24</v>
      </c>
      <c r="S197" s="36">
        <v>4.6100000000000003</v>
      </c>
      <c r="T197" s="36">
        <v>6.3E-3</v>
      </c>
      <c r="U197" s="86">
        <v>4.47</v>
      </c>
      <c r="V197" s="307">
        <v>4.37</v>
      </c>
      <c r="W197" s="36">
        <v>3.2</v>
      </c>
      <c r="X197" s="36">
        <v>1.17</v>
      </c>
      <c r="Y197" s="36">
        <v>0.10199999999999999</v>
      </c>
      <c r="Z197" s="50">
        <v>0.95399999999999996</v>
      </c>
      <c r="AA197" s="78">
        <v>0.85399999999999998</v>
      </c>
      <c r="AB197" s="31">
        <v>0.1</v>
      </c>
      <c r="AC197" s="308">
        <v>0.39600000000000002</v>
      </c>
      <c r="AD197" s="109" t="s">
        <v>1820</v>
      </c>
      <c r="AE197" s="30" t="s">
        <v>1821</v>
      </c>
    </row>
    <row r="198" spans="1:31" s="305" customFormat="1">
      <c r="A198" s="323" t="s">
        <v>1822</v>
      </c>
      <c r="B198" s="217" t="s">
        <v>1823</v>
      </c>
      <c r="C198" s="45" t="s">
        <v>1824</v>
      </c>
      <c r="D198" s="88" t="s">
        <v>1732</v>
      </c>
      <c r="E198" s="30" t="s">
        <v>1733</v>
      </c>
      <c r="F198" s="47">
        <v>605</v>
      </c>
      <c r="G198" s="47" t="s">
        <v>268</v>
      </c>
      <c r="H198" s="33">
        <v>1030</v>
      </c>
      <c r="I198" s="85">
        <v>922</v>
      </c>
      <c r="J198" s="49">
        <v>106</v>
      </c>
      <c r="K198" s="86">
        <v>11</v>
      </c>
      <c r="L198" s="307">
        <v>10.9</v>
      </c>
      <c r="M198" s="39">
        <v>5.23</v>
      </c>
      <c r="N198" s="39">
        <v>5.63</v>
      </c>
      <c r="O198" s="36">
        <v>0.104</v>
      </c>
      <c r="P198" s="86">
        <v>8.26</v>
      </c>
      <c r="Q198" s="307">
        <v>8.25</v>
      </c>
      <c r="R198" s="36">
        <v>3.16</v>
      </c>
      <c r="S198" s="36">
        <v>5.09</v>
      </c>
      <c r="T198" s="36">
        <v>6.2399999999999999E-3</v>
      </c>
      <c r="U198" s="86">
        <v>2.71</v>
      </c>
      <c r="V198" s="307">
        <v>2.61</v>
      </c>
      <c r="W198" s="36">
        <v>2.08</v>
      </c>
      <c r="X198" s="36">
        <v>0.53500000000000003</v>
      </c>
      <c r="Y198" s="36">
        <v>9.7699999999999995E-2</v>
      </c>
      <c r="Z198" s="50">
        <v>0.56299999999999994</v>
      </c>
      <c r="AA198" s="78">
        <v>0.48299999999999998</v>
      </c>
      <c r="AB198" s="31">
        <v>7.9799999999999996E-2</v>
      </c>
      <c r="AC198" s="308">
        <v>0.44400000000000001</v>
      </c>
      <c r="AD198" s="109" t="s">
        <v>1825</v>
      </c>
      <c r="AE198" s="30" t="s">
        <v>1735</v>
      </c>
    </row>
    <row r="199" spans="1:31" s="325" customFormat="1">
      <c r="A199" s="374" t="s">
        <v>1826</v>
      </c>
      <c r="B199" s="217" t="s">
        <v>1827</v>
      </c>
      <c r="C199" s="30" t="s">
        <v>1828</v>
      </c>
      <c r="D199" s="88" t="s">
        <v>1732</v>
      </c>
      <c r="E199" s="30" t="s">
        <v>1733</v>
      </c>
      <c r="F199" s="32">
        <v>272</v>
      </c>
      <c r="G199" s="32" t="s">
        <v>268</v>
      </c>
      <c r="H199" s="33">
        <v>1340</v>
      </c>
      <c r="I199" s="34">
        <v>1230</v>
      </c>
      <c r="J199" s="49">
        <v>106</v>
      </c>
      <c r="K199" s="86">
        <v>10.5</v>
      </c>
      <c r="L199" s="36">
        <v>10.4</v>
      </c>
      <c r="M199" s="39">
        <v>4.87</v>
      </c>
      <c r="N199" s="39">
        <v>5.57</v>
      </c>
      <c r="O199" s="36">
        <v>0.104</v>
      </c>
      <c r="P199" s="86">
        <v>6.89</v>
      </c>
      <c r="Q199" s="36">
        <v>6.88</v>
      </c>
      <c r="R199" s="36">
        <v>1.96</v>
      </c>
      <c r="S199" s="36">
        <v>4.92</v>
      </c>
      <c r="T199" s="36">
        <v>6.2399999999999999E-3</v>
      </c>
      <c r="U199" s="86">
        <v>3.65</v>
      </c>
      <c r="V199" s="36">
        <v>3.55</v>
      </c>
      <c r="W199" s="36">
        <v>2.91</v>
      </c>
      <c r="X199" s="36">
        <v>0.64700000000000002</v>
      </c>
      <c r="Y199" s="36">
        <v>9.7699999999999995E-2</v>
      </c>
      <c r="Z199" s="50">
        <v>0.81299999999999994</v>
      </c>
      <c r="AA199" s="31">
        <v>0.73299999999999998</v>
      </c>
      <c r="AB199" s="31">
        <v>7.9799999999999996E-2</v>
      </c>
      <c r="AC199" s="308">
        <v>0.42899999999999999</v>
      </c>
      <c r="AD199" s="332" t="s">
        <v>1829</v>
      </c>
      <c r="AE199" s="30" t="s">
        <v>1735</v>
      </c>
    </row>
    <row r="200" spans="1:31" s="305" customFormat="1">
      <c r="A200" s="323" t="s">
        <v>1830</v>
      </c>
      <c r="B200" s="217" t="s">
        <v>1831</v>
      </c>
      <c r="C200" s="45" t="s">
        <v>1832</v>
      </c>
      <c r="D200" s="88" t="s">
        <v>1732</v>
      </c>
      <c r="E200" s="30" t="s">
        <v>1733</v>
      </c>
      <c r="F200" s="47">
        <v>640</v>
      </c>
      <c r="G200" s="47" t="s">
        <v>268</v>
      </c>
      <c r="H200" s="33">
        <v>886</v>
      </c>
      <c r="I200" s="85">
        <v>780</v>
      </c>
      <c r="J200" s="49">
        <v>106</v>
      </c>
      <c r="K200" s="86">
        <v>6.93</v>
      </c>
      <c r="L200" s="307">
        <v>6.82</v>
      </c>
      <c r="M200" s="39">
        <v>2.39</v>
      </c>
      <c r="N200" s="39">
        <v>4.43</v>
      </c>
      <c r="O200" s="36">
        <v>0.104</v>
      </c>
      <c r="P200" s="86">
        <v>4.37</v>
      </c>
      <c r="Q200" s="307">
        <v>4.3600000000000003</v>
      </c>
      <c r="R200" s="36">
        <v>0.78100000000000003</v>
      </c>
      <c r="S200" s="36">
        <v>3.58</v>
      </c>
      <c r="T200" s="36">
        <v>6.2399999999999999E-3</v>
      </c>
      <c r="U200" s="72">
        <v>2.56</v>
      </c>
      <c r="V200" s="307">
        <v>2.46</v>
      </c>
      <c r="W200" s="36">
        <v>1.61</v>
      </c>
      <c r="X200" s="36">
        <v>0.85599999999999998</v>
      </c>
      <c r="Y200" s="36">
        <v>9.7699999999999995E-2</v>
      </c>
      <c r="Z200" s="50">
        <v>0.52900000000000003</v>
      </c>
      <c r="AA200" s="78">
        <v>0.45</v>
      </c>
      <c r="AB200" s="31">
        <v>7.9799999999999996E-2</v>
      </c>
      <c r="AC200" s="308">
        <v>0.41699999999999998</v>
      </c>
      <c r="AD200" s="109" t="s">
        <v>1833</v>
      </c>
      <c r="AE200" s="30" t="s">
        <v>1735</v>
      </c>
    </row>
    <row r="201" spans="1:31" s="305" customFormat="1">
      <c r="A201" s="323" t="s">
        <v>1834</v>
      </c>
      <c r="B201" s="217" t="s">
        <v>1835</v>
      </c>
      <c r="C201" s="45" t="s">
        <v>1836</v>
      </c>
      <c r="D201" s="44" t="s">
        <v>1837</v>
      </c>
      <c r="E201" s="30" t="s">
        <v>1838</v>
      </c>
      <c r="F201" s="47">
        <v>640</v>
      </c>
      <c r="G201" s="47" t="s">
        <v>268</v>
      </c>
      <c r="H201" s="33">
        <v>1210</v>
      </c>
      <c r="I201" s="85">
        <v>1090</v>
      </c>
      <c r="J201" s="49">
        <v>122</v>
      </c>
      <c r="K201" s="86">
        <v>8.39</v>
      </c>
      <c r="L201" s="307">
        <v>8.2899999999999991</v>
      </c>
      <c r="M201" s="39">
        <v>3.69</v>
      </c>
      <c r="N201" s="39">
        <v>4.59</v>
      </c>
      <c r="O201" s="36">
        <v>0.105</v>
      </c>
      <c r="P201" s="86">
        <v>4.6900000000000004</v>
      </c>
      <c r="Q201" s="307">
        <v>4.6900000000000004</v>
      </c>
      <c r="R201" s="36">
        <v>1.23</v>
      </c>
      <c r="S201" s="36">
        <v>3.46</v>
      </c>
      <c r="T201" s="36">
        <v>6.2700000000000004E-3</v>
      </c>
      <c r="U201" s="86">
        <v>3.7</v>
      </c>
      <c r="V201" s="307">
        <v>3.6</v>
      </c>
      <c r="W201" s="36">
        <v>2.4700000000000002</v>
      </c>
      <c r="X201" s="36">
        <v>1.1299999999999999</v>
      </c>
      <c r="Y201" s="36">
        <v>9.8500000000000004E-2</v>
      </c>
      <c r="Z201" s="50">
        <v>0.73499999999999999</v>
      </c>
      <c r="AA201" s="78">
        <v>0.64100000000000001</v>
      </c>
      <c r="AB201" s="31">
        <v>9.4500000000000001E-2</v>
      </c>
      <c r="AC201" s="308">
        <v>0.41699999999999998</v>
      </c>
      <c r="AD201" s="109" t="s">
        <v>1839</v>
      </c>
      <c r="AE201" s="30" t="s">
        <v>1840</v>
      </c>
    </row>
    <row r="202" spans="1:31" s="305" customFormat="1">
      <c r="A202" s="323" t="s">
        <v>1841</v>
      </c>
      <c r="B202" s="217" t="s">
        <v>1842</v>
      </c>
      <c r="C202" s="45" t="s">
        <v>1843</v>
      </c>
      <c r="D202" s="88" t="s">
        <v>1732</v>
      </c>
      <c r="E202" s="30" t="s">
        <v>1733</v>
      </c>
      <c r="F202" s="47">
        <v>640</v>
      </c>
      <c r="G202" s="47" t="s">
        <v>268</v>
      </c>
      <c r="H202" s="33">
        <v>886</v>
      </c>
      <c r="I202" s="85">
        <v>780</v>
      </c>
      <c r="J202" s="49">
        <v>106</v>
      </c>
      <c r="K202" s="86">
        <v>6.93</v>
      </c>
      <c r="L202" s="307">
        <v>6.82</v>
      </c>
      <c r="M202" s="39">
        <v>2.39</v>
      </c>
      <c r="N202" s="39">
        <v>4.43</v>
      </c>
      <c r="O202" s="36">
        <v>0.104</v>
      </c>
      <c r="P202" s="86">
        <v>4.37</v>
      </c>
      <c r="Q202" s="307">
        <v>4.3600000000000003</v>
      </c>
      <c r="R202" s="36">
        <v>0.78100000000000003</v>
      </c>
      <c r="S202" s="36">
        <v>3.58</v>
      </c>
      <c r="T202" s="36">
        <v>6.2399999999999999E-3</v>
      </c>
      <c r="U202" s="86">
        <v>2.56</v>
      </c>
      <c r="V202" s="307">
        <v>2.46</v>
      </c>
      <c r="W202" s="36">
        <v>1.61</v>
      </c>
      <c r="X202" s="36">
        <v>0.85599999999999998</v>
      </c>
      <c r="Y202" s="36">
        <v>9.7699999999999995E-2</v>
      </c>
      <c r="Z202" s="50">
        <v>0.52900000000000003</v>
      </c>
      <c r="AA202" s="78">
        <v>0.45</v>
      </c>
      <c r="AB202" s="31">
        <v>7.9799999999999996E-2</v>
      </c>
      <c r="AC202" s="308">
        <v>0.41699999999999998</v>
      </c>
      <c r="AD202" s="109" t="s">
        <v>1844</v>
      </c>
      <c r="AE202" s="30" t="s">
        <v>1735</v>
      </c>
    </row>
    <row r="203" spans="1:31" s="305" customFormat="1">
      <c r="A203" s="323" t="s">
        <v>738</v>
      </c>
      <c r="B203" s="217" t="s">
        <v>1845</v>
      </c>
      <c r="C203" s="45" t="s">
        <v>1846</v>
      </c>
      <c r="D203" s="88" t="s">
        <v>1732</v>
      </c>
      <c r="E203" s="30" t="s">
        <v>1733</v>
      </c>
      <c r="F203" s="47">
        <v>500</v>
      </c>
      <c r="G203" s="47" t="s">
        <v>268</v>
      </c>
      <c r="H203" s="33">
        <v>2870</v>
      </c>
      <c r="I203" s="85">
        <v>2770</v>
      </c>
      <c r="J203" s="49">
        <v>106</v>
      </c>
      <c r="K203" s="86">
        <v>17</v>
      </c>
      <c r="L203" s="307">
        <v>16.899999999999999</v>
      </c>
      <c r="M203" s="39">
        <v>12</v>
      </c>
      <c r="N203" s="39">
        <v>4.8899999999999997</v>
      </c>
      <c r="O203" s="36">
        <v>0.104</v>
      </c>
      <c r="P203" s="86">
        <v>10.1</v>
      </c>
      <c r="Q203" s="307">
        <v>10.1</v>
      </c>
      <c r="R203" s="36">
        <v>5.91</v>
      </c>
      <c r="S203" s="36">
        <v>4.1500000000000004</v>
      </c>
      <c r="T203" s="36">
        <v>6.2399999999999999E-3</v>
      </c>
      <c r="U203" s="86">
        <v>6.94</v>
      </c>
      <c r="V203" s="307">
        <v>6.84</v>
      </c>
      <c r="W203" s="36">
        <v>6.1</v>
      </c>
      <c r="X203" s="36">
        <v>0.74099999999999999</v>
      </c>
      <c r="Y203" s="36">
        <v>9.7699999999999995E-2</v>
      </c>
      <c r="Z203" s="72">
        <v>1.43</v>
      </c>
      <c r="AA203" s="78">
        <v>1.35</v>
      </c>
      <c r="AB203" s="31">
        <v>7.9799999999999996E-2</v>
      </c>
      <c r="AC203" s="308">
        <v>0.41</v>
      </c>
      <c r="AD203" s="109" t="s">
        <v>1847</v>
      </c>
      <c r="AE203" s="30" t="s">
        <v>1735</v>
      </c>
    </row>
    <row r="204" spans="1:31" s="305" customFormat="1">
      <c r="A204" s="323" t="s">
        <v>1848</v>
      </c>
      <c r="B204" s="217" t="s">
        <v>1849</v>
      </c>
      <c r="C204" s="45" t="s">
        <v>1850</v>
      </c>
      <c r="D204" s="88" t="s">
        <v>1732</v>
      </c>
      <c r="E204" s="30" t="s">
        <v>1733</v>
      </c>
      <c r="F204" s="47">
        <v>500</v>
      </c>
      <c r="G204" s="47" t="s">
        <v>268</v>
      </c>
      <c r="H204" s="33">
        <v>2140</v>
      </c>
      <c r="I204" s="85">
        <v>2030</v>
      </c>
      <c r="J204" s="49">
        <v>106</v>
      </c>
      <c r="K204" s="86">
        <v>14.7</v>
      </c>
      <c r="L204" s="307">
        <v>14.6</v>
      </c>
      <c r="M204" s="39">
        <v>9.7100000000000009</v>
      </c>
      <c r="N204" s="39">
        <v>4.8899999999999997</v>
      </c>
      <c r="O204" s="36">
        <v>0.104</v>
      </c>
      <c r="P204" s="86">
        <v>10</v>
      </c>
      <c r="Q204" s="307">
        <v>10</v>
      </c>
      <c r="R204" s="36">
        <v>5.85</v>
      </c>
      <c r="S204" s="36">
        <v>4.1500000000000004</v>
      </c>
      <c r="T204" s="36">
        <v>6.2399999999999999E-3</v>
      </c>
      <c r="U204" s="86">
        <v>4.7</v>
      </c>
      <c r="V204" s="307">
        <v>4.5999999999999996</v>
      </c>
      <c r="W204" s="36">
        <v>3.86</v>
      </c>
      <c r="X204" s="36">
        <v>0.74099999999999999</v>
      </c>
      <c r="Y204" s="36">
        <v>9.7699999999999995E-2</v>
      </c>
      <c r="Z204" s="72">
        <v>0.94799999999999995</v>
      </c>
      <c r="AA204" s="78">
        <v>0.86799999999999999</v>
      </c>
      <c r="AB204" s="31">
        <v>7.9799999999999996E-2</v>
      </c>
      <c r="AC204" s="308">
        <v>0.41</v>
      </c>
      <c r="AD204" s="109" t="s">
        <v>1851</v>
      </c>
      <c r="AE204" s="30" t="s">
        <v>1735</v>
      </c>
    </row>
    <row r="205" spans="1:31" s="325" customFormat="1">
      <c r="A205" s="374" t="s">
        <v>1852</v>
      </c>
      <c r="B205" s="217" t="s">
        <v>1853</v>
      </c>
      <c r="C205" s="30" t="s">
        <v>1854</v>
      </c>
      <c r="D205" s="88"/>
      <c r="E205" s="30"/>
      <c r="F205" s="32"/>
      <c r="G205" s="32"/>
      <c r="H205" s="33">
        <v>0</v>
      </c>
      <c r="I205" s="85">
        <v>0</v>
      </c>
      <c r="J205" s="49">
        <v>0</v>
      </c>
      <c r="K205" s="86">
        <v>0</v>
      </c>
      <c r="L205" s="307">
        <v>0</v>
      </c>
      <c r="M205" s="39">
        <v>0</v>
      </c>
      <c r="N205" s="39">
        <v>0</v>
      </c>
      <c r="O205" s="36">
        <v>0</v>
      </c>
      <c r="P205" s="86">
        <v>0</v>
      </c>
      <c r="Q205" s="307">
        <v>0</v>
      </c>
      <c r="R205" s="36">
        <v>0</v>
      </c>
      <c r="S205" s="36">
        <v>0</v>
      </c>
      <c r="T205" s="36">
        <v>0</v>
      </c>
      <c r="U205" s="86">
        <v>0</v>
      </c>
      <c r="V205" s="307">
        <v>0</v>
      </c>
      <c r="W205" s="36">
        <v>0</v>
      </c>
      <c r="X205" s="36">
        <v>0</v>
      </c>
      <c r="Y205" s="36">
        <v>0</v>
      </c>
      <c r="Z205" s="72">
        <v>0</v>
      </c>
      <c r="AA205" s="78">
        <v>0</v>
      </c>
      <c r="AB205" s="31">
        <v>0</v>
      </c>
      <c r="AC205" s="308">
        <v>0</v>
      </c>
      <c r="AD205" s="332" t="s">
        <v>1855</v>
      </c>
      <c r="AE205" s="30"/>
    </row>
    <row r="206" spans="1:31" s="325" customFormat="1" ht="12.75" customHeight="1" outlineLevel="1">
      <c r="A206" s="324" t="s">
        <v>1856</v>
      </c>
      <c r="B206" s="60" t="s">
        <v>1857</v>
      </c>
      <c r="C206" s="60" t="s">
        <v>1858</v>
      </c>
      <c r="D206" s="60" t="s">
        <v>1859</v>
      </c>
      <c r="E206" s="60" t="s">
        <v>1860</v>
      </c>
      <c r="F206" s="62">
        <v>700</v>
      </c>
      <c r="G206" s="63" t="s">
        <v>268</v>
      </c>
      <c r="H206" s="64">
        <v>1010</v>
      </c>
      <c r="I206" s="65">
        <v>926</v>
      </c>
      <c r="J206" s="65">
        <v>84.4</v>
      </c>
      <c r="K206" s="66">
        <v>11.3</v>
      </c>
      <c r="L206" s="107">
        <v>11.2</v>
      </c>
      <c r="M206" s="107">
        <v>6.02</v>
      </c>
      <c r="N206" s="107">
        <v>5.18</v>
      </c>
      <c r="O206" s="107">
        <v>0.114</v>
      </c>
      <c r="P206" s="66">
        <v>9.4600000000000009</v>
      </c>
      <c r="Q206" s="68">
        <v>9.4600000000000009</v>
      </c>
      <c r="R206" s="107">
        <v>4.3600000000000003</v>
      </c>
      <c r="S206" s="107">
        <v>5.0999999999999996</v>
      </c>
      <c r="T206" s="107">
        <v>6.9100000000000003E-3</v>
      </c>
      <c r="U206" s="66">
        <v>1.86</v>
      </c>
      <c r="V206" s="107">
        <v>1.75</v>
      </c>
      <c r="W206" s="107">
        <v>1.67</v>
      </c>
      <c r="X206" s="68">
        <v>8.3299999999999999E-2</v>
      </c>
      <c r="Y206" s="107">
        <v>0.108</v>
      </c>
      <c r="Z206" s="69">
        <v>0.36699999999999999</v>
      </c>
      <c r="AA206" s="106">
        <v>0.30599999999999999</v>
      </c>
      <c r="AB206" s="70">
        <v>6.1499999999999999E-2</v>
      </c>
      <c r="AC206" s="321">
        <v>0.47699999999999998</v>
      </c>
      <c r="AD206" s="351" t="s">
        <v>1861</v>
      </c>
      <c r="AE206" s="60" t="s">
        <v>1862</v>
      </c>
    </row>
    <row r="207" spans="1:31" s="325" customFormat="1" ht="25.5" customHeight="1">
      <c r="A207" s="1968" t="s">
        <v>1863</v>
      </c>
      <c r="B207" s="1969"/>
      <c r="C207" s="1969"/>
      <c r="D207" s="1969"/>
      <c r="E207" s="1969"/>
      <c r="F207" s="1969"/>
      <c r="G207" s="1969"/>
      <c r="H207" s="1969"/>
      <c r="I207" s="1969"/>
      <c r="J207" s="1969"/>
      <c r="K207" s="1969"/>
      <c r="L207" s="1969"/>
      <c r="M207" s="1969"/>
      <c r="N207" s="1969"/>
      <c r="O207" s="1969"/>
      <c r="P207" s="1969"/>
      <c r="Q207" s="1969"/>
      <c r="R207" s="1969"/>
      <c r="S207" s="1969"/>
      <c r="T207" s="1969"/>
      <c r="U207" s="1969"/>
      <c r="V207" s="1969"/>
      <c r="W207" s="1969"/>
      <c r="X207" s="1969"/>
      <c r="Y207" s="1969"/>
      <c r="Z207" s="1969"/>
      <c r="AA207" s="1969"/>
      <c r="AB207" s="1969"/>
      <c r="AC207" s="1969"/>
      <c r="AD207" s="1969"/>
      <c r="AE207" s="1970"/>
    </row>
    <row r="208" spans="1:31" s="325" customFormat="1" ht="12.95" customHeight="1">
      <c r="A208" s="1971"/>
      <c r="B208" s="1969"/>
      <c r="C208" s="1969"/>
      <c r="D208" s="1969"/>
      <c r="E208" s="1969"/>
      <c r="F208" s="1969"/>
      <c r="G208" s="1969"/>
      <c r="H208" s="1969"/>
      <c r="I208" s="1969"/>
      <c r="J208" s="1969"/>
      <c r="K208" s="1969"/>
      <c r="L208" s="1969"/>
      <c r="M208" s="1969"/>
      <c r="N208" s="1969"/>
      <c r="O208" s="1969"/>
      <c r="P208" s="1969"/>
      <c r="Q208" s="1969"/>
      <c r="R208" s="1969"/>
      <c r="S208" s="1969"/>
      <c r="T208" s="1969"/>
      <c r="U208" s="1969"/>
      <c r="V208" s="1969"/>
      <c r="W208" s="1969"/>
      <c r="X208" s="1969"/>
      <c r="Y208" s="1969"/>
      <c r="Z208" s="1969"/>
      <c r="AA208" s="1969"/>
      <c r="AB208" s="1969"/>
      <c r="AC208" s="1969"/>
      <c r="AD208" s="1969"/>
      <c r="AE208" s="1970"/>
    </row>
    <row r="209" spans="1:31" s="305" customFormat="1" ht="14.25">
      <c r="A209" s="298" t="s">
        <v>1864</v>
      </c>
      <c r="B209" s="298"/>
      <c r="C209" s="41" t="s">
        <v>1865</v>
      </c>
      <c r="D209" s="40"/>
      <c r="E209" s="41"/>
      <c r="F209" s="42" t="s">
        <v>1173</v>
      </c>
      <c r="G209" s="43"/>
      <c r="H209" s="299"/>
      <c r="I209" s="299"/>
      <c r="J209" s="299"/>
      <c r="K209" s="370"/>
      <c r="L209" s="370"/>
      <c r="M209" s="370"/>
      <c r="N209" s="370"/>
      <c r="O209" s="370"/>
      <c r="P209" s="370"/>
      <c r="Q209" s="370"/>
      <c r="R209" s="370"/>
      <c r="S209" s="299"/>
      <c r="T209" s="370"/>
      <c r="U209" s="303"/>
      <c r="V209" s="370"/>
      <c r="W209" s="370"/>
      <c r="X209" s="370"/>
      <c r="Y209" s="370"/>
      <c r="Z209" s="370"/>
      <c r="AA209" s="299"/>
      <c r="AB209" s="299"/>
      <c r="AC209" s="299"/>
      <c r="AD209" s="304" t="s">
        <v>1866</v>
      </c>
      <c r="AE209" s="41"/>
    </row>
    <row r="210" spans="1:31" s="305" customFormat="1">
      <c r="A210" s="323" t="s">
        <v>740</v>
      </c>
      <c r="B210" s="217" t="s">
        <v>1867</v>
      </c>
      <c r="C210" s="45" t="s">
        <v>1868</v>
      </c>
      <c r="D210" s="88" t="s">
        <v>1869</v>
      </c>
      <c r="E210" s="30" t="s">
        <v>1870</v>
      </c>
      <c r="F210" s="71">
        <v>1500</v>
      </c>
      <c r="G210" s="47" t="s">
        <v>268</v>
      </c>
      <c r="H210" s="33">
        <v>10100</v>
      </c>
      <c r="I210" s="85">
        <v>9910</v>
      </c>
      <c r="J210" s="34">
        <v>236</v>
      </c>
      <c r="K210" s="86">
        <v>24.6</v>
      </c>
      <c r="L210" s="307">
        <v>24.6</v>
      </c>
      <c r="M210" s="39">
        <v>24.6</v>
      </c>
      <c r="N210" s="39">
        <v>0</v>
      </c>
      <c r="O210" s="36">
        <v>5.8099999999999999E-2</v>
      </c>
      <c r="P210" s="86">
        <v>0.35499999999999998</v>
      </c>
      <c r="Q210" s="307">
        <v>0.35299999999999998</v>
      </c>
      <c r="R210" s="36">
        <v>0.35299999999999998</v>
      </c>
      <c r="S210" s="36">
        <v>0</v>
      </c>
      <c r="T210" s="36">
        <v>2.2499999999999998E-3</v>
      </c>
      <c r="U210" s="86">
        <v>24.3</v>
      </c>
      <c r="V210" s="307">
        <v>24.2</v>
      </c>
      <c r="W210" s="36">
        <v>24.2</v>
      </c>
      <c r="X210" s="36">
        <v>0</v>
      </c>
      <c r="Y210" s="36">
        <v>5.5800000000000002E-2</v>
      </c>
      <c r="Z210" s="72">
        <v>4.84</v>
      </c>
      <c r="AA210" s="77">
        <v>4.6500000000000004</v>
      </c>
      <c r="AB210" s="73">
        <v>0.187</v>
      </c>
      <c r="AC210" s="308">
        <v>0</v>
      </c>
      <c r="AD210" s="109" t="s">
        <v>1871</v>
      </c>
      <c r="AE210" s="30" t="s">
        <v>1872</v>
      </c>
    </row>
    <row r="211" spans="1:31" s="305" customFormat="1">
      <c r="A211" s="323" t="s">
        <v>593</v>
      </c>
      <c r="B211" s="217" t="s">
        <v>1873</v>
      </c>
      <c r="C211" s="45" t="s">
        <v>1874</v>
      </c>
      <c r="D211" s="88" t="s">
        <v>1869</v>
      </c>
      <c r="E211" s="30" t="s">
        <v>1870</v>
      </c>
      <c r="F211" s="71">
        <v>1000</v>
      </c>
      <c r="G211" s="47" t="s">
        <v>268</v>
      </c>
      <c r="H211" s="33">
        <v>2040</v>
      </c>
      <c r="I211" s="85">
        <v>1800</v>
      </c>
      <c r="J211" s="34">
        <v>236</v>
      </c>
      <c r="K211" s="86">
        <v>15</v>
      </c>
      <c r="L211" s="307">
        <v>15</v>
      </c>
      <c r="M211" s="39">
        <v>3.48</v>
      </c>
      <c r="N211" s="39">
        <v>11.5</v>
      </c>
      <c r="O211" s="36">
        <v>5.8099999999999999E-2</v>
      </c>
      <c r="P211" s="86">
        <v>6.6500000000000004E-2</v>
      </c>
      <c r="Q211" s="307">
        <v>6.4299999999999996E-2</v>
      </c>
      <c r="R211" s="36">
        <v>6.4299999999999996E-2</v>
      </c>
      <c r="S211" s="36">
        <v>0</v>
      </c>
      <c r="T211" s="36">
        <v>2.2499999999999998E-3</v>
      </c>
      <c r="U211" s="86">
        <v>15</v>
      </c>
      <c r="V211" s="307">
        <v>14.9</v>
      </c>
      <c r="W211" s="36">
        <v>3.41</v>
      </c>
      <c r="X211" s="36">
        <v>11.5</v>
      </c>
      <c r="Y211" s="36">
        <v>5.5800000000000002E-2</v>
      </c>
      <c r="Z211" s="72">
        <v>1.0900000000000001</v>
      </c>
      <c r="AA211" s="78">
        <v>0.90600000000000003</v>
      </c>
      <c r="AB211" s="73">
        <v>0.187</v>
      </c>
      <c r="AC211" s="308">
        <v>0</v>
      </c>
      <c r="AD211" s="109" t="s">
        <v>1875</v>
      </c>
      <c r="AE211" s="30" t="s">
        <v>1872</v>
      </c>
    </row>
    <row r="212" spans="1:31" s="305" customFormat="1">
      <c r="A212" s="323" t="s">
        <v>1876</v>
      </c>
      <c r="B212" s="217" t="s">
        <v>1877</v>
      </c>
      <c r="C212" s="45" t="s">
        <v>1878</v>
      </c>
      <c r="D212" s="88" t="s">
        <v>1869</v>
      </c>
      <c r="E212" s="30" t="s">
        <v>1870</v>
      </c>
      <c r="F212" s="71">
        <v>1500</v>
      </c>
      <c r="G212" s="47" t="s">
        <v>268</v>
      </c>
      <c r="H212" s="33">
        <v>6870</v>
      </c>
      <c r="I212" s="85">
        <v>6630</v>
      </c>
      <c r="J212" s="34">
        <v>236</v>
      </c>
      <c r="K212" s="86">
        <v>24.7</v>
      </c>
      <c r="L212" s="307">
        <v>24.7</v>
      </c>
      <c r="M212" s="39">
        <v>16.5</v>
      </c>
      <c r="N212" s="39">
        <v>8.14</v>
      </c>
      <c r="O212" s="36">
        <v>5.8099999999999999E-2</v>
      </c>
      <c r="P212" s="86">
        <v>0.29599999999999999</v>
      </c>
      <c r="Q212" s="307">
        <v>0.29399999999999998</v>
      </c>
      <c r="R212" s="36">
        <v>0.29399999999999998</v>
      </c>
      <c r="S212" s="36">
        <v>0</v>
      </c>
      <c r="T212" s="36">
        <v>2.2499999999999998E-3</v>
      </c>
      <c r="U212" s="86">
        <v>24.4</v>
      </c>
      <c r="V212" s="307">
        <v>24.4</v>
      </c>
      <c r="W212" s="36">
        <v>16.2</v>
      </c>
      <c r="X212" s="36">
        <v>8.14</v>
      </c>
      <c r="Y212" s="36">
        <v>5.5800000000000002E-2</v>
      </c>
      <c r="Z212" s="72">
        <v>2.42</v>
      </c>
      <c r="AA212" s="77">
        <v>2.23</v>
      </c>
      <c r="AB212" s="73">
        <v>0.187</v>
      </c>
      <c r="AC212" s="308">
        <v>0</v>
      </c>
      <c r="AD212" s="109" t="s">
        <v>1879</v>
      </c>
      <c r="AE212" s="30" t="s">
        <v>1872</v>
      </c>
    </row>
    <row r="213" spans="1:31" s="305" customFormat="1">
      <c r="A213" s="323" t="s">
        <v>1880</v>
      </c>
      <c r="B213" s="217" t="s">
        <v>1881</v>
      </c>
      <c r="C213" s="45" t="s">
        <v>1882</v>
      </c>
      <c r="D213" s="88" t="s">
        <v>1869</v>
      </c>
      <c r="E213" s="30" t="s">
        <v>1870</v>
      </c>
      <c r="F213" s="71">
        <v>1600</v>
      </c>
      <c r="G213" s="47" t="s">
        <v>268</v>
      </c>
      <c r="H213" s="33">
        <v>2890</v>
      </c>
      <c r="I213" s="85">
        <v>2660</v>
      </c>
      <c r="J213" s="34">
        <v>236</v>
      </c>
      <c r="K213" s="86">
        <v>8.23</v>
      </c>
      <c r="L213" s="307">
        <v>8.17</v>
      </c>
      <c r="M213" s="39">
        <v>6.92</v>
      </c>
      <c r="N213" s="39">
        <v>1.24</v>
      </c>
      <c r="O213" s="36">
        <v>5.8099999999999999E-2</v>
      </c>
      <c r="P213" s="86">
        <v>0.42199999999999999</v>
      </c>
      <c r="Q213" s="307">
        <v>0.42</v>
      </c>
      <c r="R213" s="36">
        <v>0.42</v>
      </c>
      <c r="S213" s="36">
        <v>0</v>
      </c>
      <c r="T213" s="36">
        <v>2.2499999999999998E-3</v>
      </c>
      <c r="U213" s="86">
        <v>7.8</v>
      </c>
      <c r="V213" s="307">
        <v>7.75</v>
      </c>
      <c r="W213" s="36">
        <v>6.5</v>
      </c>
      <c r="X213" s="36">
        <v>1.24</v>
      </c>
      <c r="Y213" s="36">
        <v>5.5800000000000002E-2</v>
      </c>
      <c r="Z213" s="72">
        <v>1.72</v>
      </c>
      <c r="AA213" s="77">
        <v>1.53</v>
      </c>
      <c r="AB213" s="73">
        <v>0.187</v>
      </c>
      <c r="AC213" s="308">
        <v>0</v>
      </c>
      <c r="AD213" s="109" t="s">
        <v>1883</v>
      </c>
      <c r="AE213" s="30" t="s">
        <v>1872</v>
      </c>
    </row>
    <row r="214" spans="1:31" s="305" customFormat="1">
      <c r="A214" s="323" t="s">
        <v>1884</v>
      </c>
      <c r="B214" s="217" t="s">
        <v>1885</v>
      </c>
      <c r="C214" s="45" t="s">
        <v>1886</v>
      </c>
      <c r="D214" s="88" t="s">
        <v>1869</v>
      </c>
      <c r="E214" s="30" t="s">
        <v>1870</v>
      </c>
      <c r="F214" s="71">
        <v>1000</v>
      </c>
      <c r="G214" s="47" t="s">
        <v>268</v>
      </c>
      <c r="H214" s="33">
        <v>4570</v>
      </c>
      <c r="I214" s="85">
        <v>4340</v>
      </c>
      <c r="J214" s="34">
        <v>236</v>
      </c>
      <c r="K214" s="86">
        <v>16.3</v>
      </c>
      <c r="L214" s="307">
        <v>16.3</v>
      </c>
      <c r="M214" s="39">
        <v>8.1300000000000008</v>
      </c>
      <c r="N214" s="39">
        <v>8.14</v>
      </c>
      <c r="O214" s="36">
        <v>5.8099999999999999E-2</v>
      </c>
      <c r="P214" s="86">
        <v>1.87</v>
      </c>
      <c r="Q214" s="307">
        <v>1.87</v>
      </c>
      <c r="R214" s="36">
        <v>1.87</v>
      </c>
      <c r="S214" s="36">
        <v>0</v>
      </c>
      <c r="T214" s="36">
        <v>2.2499999999999998E-3</v>
      </c>
      <c r="U214" s="86">
        <v>14.5</v>
      </c>
      <c r="V214" s="307">
        <v>14.4</v>
      </c>
      <c r="W214" s="36">
        <v>6.27</v>
      </c>
      <c r="X214" s="36">
        <v>8.14</v>
      </c>
      <c r="Y214" s="36">
        <v>5.5800000000000002E-2</v>
      </c>
      <c r="Z214" s="72">
        <v>2.91</v>
      </c>
      <c r="AA214" s="77">
        <v>2.72</v>
      </c>
      <c r="AB214" s="73">
        <v>0.187</v>
      </c>
      <c r="AC214" s="308">
        <v>0</v>
      </c>
      <c r="AD214" s="109" t="s">
        <v>1887</v>
      </c>
      <c r="AE214" s="30" t="s">
        <v>1872</v>
      </c>
    </row>
    <row r="215" spans="1:31" s="305" customFormat="1" ht="28.5">
      <c r="A215" s="298" t="s">
        <v>1888</v>
      </c>
      <c r="B215" s="691"/>
      <c r="C215" s="41" t="s">
        <v>1889</v>
      </c>
      <c r="D215" s="40"/>
      <c r="E215" s="41"/>
      <c r="F215" s="42" t="s">
        <v>1890</v>
      </c>
      <c r="G215" s="43"/>
      <c r="H215" s="327"/>
      <c r="I215" s="299"/>
      <c r="J215" s="327"/>
      <c r="K215" s="328"/>
      <c r="L215" s="355"/>
      <c r="M215" s="312"/>
      <c r="N215" s="312"/>
      <c r="O215" s="356"/>
      <c r="P215" s="356"/>
      <c r="Q215" s="355"/>
      <c r="R215" s="312"/>
      <c r="S215" s="312"/>
      <c r="T215" s="378"/>
      <c r="U215" s="378"/>
      <c r="V215" s="358"/>
      <c r="W215" s="312"/>
      <c r="X215" s="312"/>
      <c r="Y215" s="378"/>
      <c r="Z215" s="378"/>
      <c r="AA215" s="379"/>
      <c r="AB215" s="380"/>
      <c r="AC215" s="380"/>
      <c r="AD215" s="304" t="s">
        <v>1891</v>
      </c>
      <c r="AE215" s="41"/>
    </row>
    <row r="216" spans="1:31" s="305" customFormat="1">
      <c r="A216" s="323" t="s">
        <v>753</v>
      </c>
      <c r="B216" s="217" t="s">
        <v>1892</v>
      </c>
      <c r="C216" s="45" t="s">
        <v>1893</v>
      </c>
      <c r="D216" s="88" t="s">
        <v>1894</v>
      </c>
      <c r="E216" s="30" t="s">
        <v>1895</v>
      </c>
      <c r="F216" s="71">
        <v>1100</v>
      </c>
      <c r="G216" s="47" t="s">
        <v>268</v>
      </c>
      <c r="H216" s="33">
        <v>5220</v>
      </c>
      <c r="I216" s="85">
        <v>2790</v>
      </c>
      <c r="J216" s="34">
        <v>2430</v>
      </c>
      <c r="K216" s="86">
        <v>14.1</v>
      </c>
      <c r="L216" s="307">
        <v>13.9</v>
      </c>
      <c r="M216" s="39">
        <v>6.29</v>
      </c>
      <c r="N216" s="39">
        <v>7.57</v>
      </c>
      <c r="O216" s="36">
        <v>0.28100000000000003</v>
      </c>
      <c r="P216" s="86">
        <v>0.66900000000000004</v>
      </c>
      <c r="Q216" s="307">
        <v>0.65400000000000003</v>
      </c>
      <c r="R216" s="36">
        <v>0.65400000000000003</v>
      </c>
      <c r="S216" s="36">
        <v>0</v>
      </c>
      <c r="T216" s="36">
        <v>1.4800000000000001E-2</v>
      </c>
      <c r="U216" s="86">
        <v>13.5</v>
      </c>
      <c r="V216" s="307">
        <v>13.2</v>
      </c>
      <c r="W216" s="36">
        <v>5.63</v>
      </c>
      <c r="X216" s="36">
        <v>7.57</v>
      </c>
      <c r="Y216" s="36">
        <v>0.26600000000000001</v>
      </c>
      <c r="Z216" s="72">
        <v>3.64</v>
      </c>
      <c r="AA216" s="77">
        <v>1.31</v>
      </c>
      <c r="AB216" s="73">
        <v>2.33</v>
      </c>
      <c r="AC216" s="308">
        <v>0</v>
      </c>
      <c r="AD216" s="109" t="s">
        <v>1896</v>
      </c>
      <c r="AE216" s="30" t="s">
        <v>1897</v>
      </c>
    </row>
    <row r="217" spans="1:31" s="305" customFormat="1" ht="12.75" customHeight="1">
      <c r="A217" s="323" t="s">
        <v>1898</v>
      </c>
      <c r="B217" s="217" t="s">
        <v>1899</v>
      </c>
      <c r="C217" s="45" t="s">
        <v>1900</v>
      </c>
      <c r="D217" s="44" t="s">
        <v>1901</v>
      </c>
      <c r="E217" s="30" t="s">
        <v>1902</v>
      </c>
      <c r="F217" s="71">
        <v>920</v>
      </c>
      <c r="G217" s="47" t="s">
        <v>268</v>
      </c>
      <c r="H217" s="33">
        <v>6930</v>
      </c>
      <c r="I217" s="85">
        <v>4120</v>
      </c>
      <c r="J217" s="34">
        <v>2810</v>
      </c>
      <c r="K217" s="86">
        <v>25.7</v>
      </c>
      <c r="L217" s="307">
        <v>25.5</v>
      </c>
      <c r="M217" s="39">
        <v>14.2</v>
      </c>
      <c r="N217" s="39">
        <v>11.2</v>
      </c>
      <c r="O217" s="36">
        <v>0.22</v>
      </c>
      <c r="P217" s="86">
        <v>0.86399999999999999</v>
      </c>
      <c r="Q217" s="307">
        <v>0.85299999999999998</v>
      </c>
      <c r="R217" s="36">
        <v>0.85299999999999998</v>
      </c>
      <c r="S217" s="36">
        <v>0</v>
      </c>
      <c r="T217" s="36">
        <v>1.11E-2</v>
      </c>
      <c r="U217" s="86">
        <v>24.8</v>
      </c>
      <c r="V217" s="307">
        <v>24.6</v>
      </c>
      <c r="W217" s="36">
        <v>13.4</v>
      </c>
      <c r="X217" s="36">
        <v>11.2</v>
      </c>
      <c r="Y217" s="36">
        <v>0.20899999999999999</v>
      </c>
      <c r="Z217" s="72">
        <v>5.42</v>
      </c>
      <c r="AA217" s="77">
        <v>2.75</v>
      </c>
      <c r="AB217" s="73">
        <v>2.67</v>
      </c>
      <c r="AC217" s="308">
        <v>0</v>
      </c>
      <c r="AD217" s="109" t="s">
        <v>1903</v>
      </c>
      <c r="AE217" s="30" t="s">
        <v>1904</v>
      </c>
    </row>
    <row r="218" spans="1:31" s="305" customFormat="1" ht="14.1" customHeight="1">
      <c r="A218" s="323" t="s">
        <v>755</v>
      </c>
      <c r="B218" s="217" t="s">
        <v>1905</v>
      </c>
      <c r="C218" s="45" t="s">
        <v>1906</v>
      </c>
      <c r="D218" s="88" t="s">
        <v>1894</v>
      </c>
      <c r="E218" s="30" t="s">
        <v>1895</v>
      </c>
      <c r="F218" s="71">
        <v>1100</v>
      </c>
      <c r="G218" s="47" t="s">
        <v>268</v>
      </c>
      <c r="H218" s="33">
        <v>4350</v>
      </c>
      <c r="I218" s="85">
        <v>1920</v>
      </c>
      <c r="J218" s="34">
        <v>2430</v>
      </c>
      <c r="K218" s="86">
        <v>12.6</v>
      </c>
      <c r="L218" s="307">
        <v>12.3</v>
      </c>
      <c r="M218" s="39">
        <v>4.92</v>
      </c>
      <c r="N218" s="39">
        <v>7.37</v>
      </c>
      <c r="O218" s="36">
        <v>0.28100000000000003</v>
      </c>
      <c r="P218" s="86">
        <v>0.27900000000000003</v>
      </c>
      <c r="Q218" s="307">
        <v>0.26400000000000001</v>
      </c>
      <c r="R218" s="36">
        <v>0.26400000000000001</v>
      </c>
      <c r="S218" s="36">
        <v>0</v>
      </c>
      <c r="T218" s="36">
        <v>1.4800000000000001E-2</v>
      </c>
      <c r="U218" s="86">
        <v>12.3</v>
      </c>
      <c r="V218" s="307">
        <v>12</v>
      </c>
      <c r="W218" s="36">
        <v>4.66</v>
      </c>
      <c r="X218" s="36">
        <v>7.37</v>
      </c>
      <c r="Y218" s="36">
        <v>0.26600000000000001</v>
      </c>
      <c r="Z218" s="72">
        <v>3.33</v>
      </c>
      <c r="AA218" s="78">
        <v>1</v>
      </c>
      <c r="AB218" s="73">
        <v>2.33</v>
      </c>
      <c r="AC218" s="308">
        <v>0</v>
      </c>
      <c r="AD218" s="109" t="s">
        <v>1907</v>
      </c>
      <c r="AE218" s="30" t="s">
        <v>1897</v>
      </c>
    </row>
    <row r="219" spans="1:31" s="325" customFormat="1" ht="12.75" customHeight="1" outlineLevel="1">
      <c r="A219" s="365" t="s">
        <v>1908</v>
      </c>
      <c r="B219" s="60" t="s">
        <v>1909</v>
      </c>
      <c r="C219" s="60" t="s">
        <v>1910</v>
      </c>
      <c r="D219" s="61" t="s">
        <v>1894</v>
      </c>
      <c r="E219" s="60" t="s">
        <v>1895</v>
      </c>
      <c r="F219" s="62">
        <v>1267</v>
      </c>
      <c r="G219" s="63" t="s">
        <v>268</v>
      </c>
      <c r="H219" s="64">
        <v>3510</v>
      </c>
      <c r="I219" s="65">
        <v>1080</v>
      </c>
      <c r="J219" s="65">
        <v>2430</v>
      </c>
      <c r="K219" s="66">
        <v>6.35</v>
      </c>
      <c r="L219" s="107">
        <v>6.07</v>
      </c>
      <c r="M219" s="107">
        <v>2.62</v>
      </c>
      <c r="N219" s="107">
        <v>3.45</v>
      </c>
      <c r="O219" s="107">
        <v>0.28100000000000003</v>
      </c>
      <c r="P219" s="66">
        <v>0.224</v>
      </c>
      <c r="Q219" s="107">
        <v>0.20899999999999999</v>
      </c>
      <c r="R219" s="107">
        <v>0.16900000000000001</v>
      </c>
      <c r="S219" s="107">
        <v>3.9699999999999999E-2</v>
      </c>
      <c r="T219" s="107">
        <v>1.4800000000000001E-2</v>
      </c>
      <c r="U219" s="66">
        <v>6.13</v>
      </c>
      <c r="V219" s="107">
        <v>5.86</v>
      </c>
      <c r="W219" s="107">
        <v>2.4500000000000002</v>
      </c>
      <c r="X219" s="107">
        <v>3.41</v>
      </c>
      <c r="Y219" s="107">
        <v>0.26600000000000001</v>
      </c>
      <c r="Z219" s="69">
        <v>2.92</v>
      </c>
      <c r="AA219" s="68">
        <v>0.58799999999999997</v>
      </c>
      <c r="AB219" s="70">
        <v>2.33</v>
      </c>
      <c r="AC219" s="321">
        <v>0</v>
      </c>
      <c r="AD219" s="351" t="s">
        <v>1911</v>
      </c>
      <c r="AE219" s="60" t="s">
        <v>1897</v>
      </c>
    </row>
    <row r="220" spans="1:31" s="325" customFormat="1" ht="12.75" customHeight="1" outlineLevel="1">
      <c r="A220" s="365" t="s">
        <v>606</v>
      </c>
      <c r="B220" s="60" t="s">
        <v>1912</v>
      </c>
      <c r="C220" s="60" t="s">
        <v>1913</v>
      </c>
      <c r="D220" s="61" t="s">
        <v>1894</v>
      </c>
      <c r="E220" s="60" t="s">
        <v>1895</v>
      </c>
      <c r="F220" s="62">
        <v>1269</v>
      </c>
      <c r="G220" s="63" t="s">
        <v>268</v>
      </c>
      <c r="H220" s="64">
        <v>4060</v>
      </c>
      <c r="I220" s="65">
        <v>1630</v>
      </c>
      <c r="J220" s="65">
        <v>2430</v>
      </c>
      <c r="K220" s="66">
        <v>10.5</v>
      </c>
      <c r="L220" s="107">
        <v>10.3</v>
      </c>
      <c r="M220" s="107">
        <v>3.93</v>
      </c>
      <c r="N220" s="107">
        <v>6.32</v>
      </c>
      <c r="O220" s="107">
        <v>0.28100000000000003</v>
      </c>
      <c r="P220" s="66">
        <v>0.24199999999999999</v>
      </c>
      <c r="Q220" s="107">
        <v>0.22700000000000001</v>
      </c>
      <c r="R220" s="107">
        <v>0.183</v>
      </c>
      <c r="S220" s="107">
        <v>4.3900000000000002E-2</v>
      </c>
      <c r="T220" s="107">
        <v>1.4800000000000001E-2</v>
      </c>
      <c r="U220" s="66">
        <v>10.3</v>
      </c>
      <c r="V220" s="107">
        <v>10</v>
      </c>
      <c r="W220" s="107">
        <v>3.75</v>
      </c>
      <c r="X220" s="107">
        <v>6.28</v>
      </c>
      <c r="Y220" s="107">
        <v>0.26600000000000001</v>
      </c>
      <c r="Z220" s="69">
        <v>3.24</v>
      </c>
      <c r="AA220" s="68">
        <v>0.90700000000000003</v>
      </c>
      <c r="AB220" s="70">
        <v>2.33</v>
      </c>
      <c r="AC220" s="321">
        <v>0</v>
      </c>
      <c r="AD220" s="351" t="s">
        <v>1914</v>
      </c>
      <c r="AE220" s="60" t="s">
        <v>1897</v>
      </c>
    </row>
    <row r="221" spans="1:31" s="325" customFormat="1" ht="12.75" customHeight="1" outlineLevel="1">
      <c r="A221" s="365" t="s">
        <v>1915</v>
      </c>
      <c r="B221" s="60" t="s">
        <v>1916</v>
      </c>
      <c r="C221" s="60" t="s">
        <v>1917</v>
      </c>
      <c r="D221" s="61" t="s">
        <v>1894</v>
      </c>
      <c r="E221" s="60" t="s">
        <v>1895</v>
      </c>
      <c r="F221" s="62">
        <v>1256</v>
      </c>
      <c r="G221" s="63" t="s">
        <v>268</v>
      </c>
      <c r="H221" s="64">
        <v>3420</v>
      </c>
      <c r="I221" s="65">
        <v>983</v>
      </c>
      <c r="J221" s="65">
        <v>2430</v>
      </c>
      <c r="K221" s="66">
        <v>5.76</v>
      </c>
      <c r="L221" s="107">
        <v>5.47</v>
      </c>
      <c r="M221" s="107">
        <v>2.52</v>
      </c>
      <c r="N221" s="107">
        <v>2.95</v>
      </c>
      <c r="O221" s="107">
        <v>0.28100000000000003</v>
      </c>
      <c r="P221" s="66">
        <v>0.221</v>
      </c>
      <c r="Q221" s="107">
        <v>0.20599999999999999</v>
      </c>
      <c r="R221" s="107">
        <v>0.157</v>
      </c>
      <c r="S221" s="107">
        <v>4.8800000000000003E-2</v>
      </c>
      <c r="T221" s="107">
        <v>1.4800000000000001E-2</v>
      </c>
      <c r="U221" s="66">
        <v>5.54</v>
      </c>
      <c r="V221" s="107">
        <v>5.27</v>
      </c>
      <c r="W221" s="107">
        <v>2.37</v>
      </c>
      <c r="X221" s="107">
        <v>2.9</v>
      </c>
      <c r="Y221" s="107">
        <v>0.26600000000000001</v>
      </c>
      <c r="Z221" s="69">
        <v>2.88</v>
      </c>
      <c r="AA221" s="68">
        <v>0.55000000000000004</v>
      </c>
      <c r="AB221" s="70">
        <v>2.33</v>
      </c>
      <c r="AC221" s="321">
        <v>0</v>
      </c>
      <c r="AD221" s="351" t="s">
        <v>1918</v>
      </c>
      <c r="AE221" s="60" t="s">
        <v>1897</v>
      </c>
    </row>
    <row r="222" spans="1:31" s="325" customFormat="1" ht="12.75" customHeight="1" outlineLevel="1">
      <c r="A222" s="365" t="s">
        <v>608</v>
      </c>
      <c r="B222" s="60" t="s">
        <v>1919</v>
      </c>
      <c r="C222" s="60" t="s">
        <v>1913</v>
      </c>
      <c r="D222" s="61" t="s">
        <v>1894</v>
      </c>
      <c r="E222" s="60" t="s">
        <v>1895</v>
      </c>
      <c r="F222" s="62">
        <v>1269</v>
      </c>
      <c r="G222" s="63" t="s">
        <v>268</v>
      </c>
      <c r="H222" s="64">
        <v>4060</v>
      </c>
      <c r="I222" s="65">
        <v>1630</v>
      </c>
      <c r="J222" s="65">
        <v>2430</v>
      </c>
      <c r="K222" s="66">
        <v>10.5</v>
      </c>
      <c r="L222" s="107">
        <v>10.3</v>
      </c>
      <c r="M222" s="107">
        <v>3.93</v>
      </c>
      <c r="N222" s="107">
        <v>6.32</v>
      </c>
      <c r="O222" s="107">
        <v>0.28100000000000003</v>
      </c>
      <c r="P222" s="66">
        <v>0.24199999999999999</v>
      </c>
      <c r="Q222" s="107">
        <v>0.22700000000000001</v>
      </c>
      <c r="R222" s="107">
        <v>0.183</v>
      </c>
      <c r="S222" s="107">
        <v>4.3900000000000002E-2</v>
      </c>
      <c r="T222" s="107">
        <v>1.4800000000000001E-2</v>
      </c>
      <c r="U222" s="66">
        <v>10.3</v>
      </c>
      <c r="V222" s="107">
        <v>10</v>
      </c>
      <c r="W222" s="107">
        <v>3.75</v>
      </c>
      <c r="X222" s="107">
        <v>6.28</v>
      </c>
      <c r="Y222" s="107">
        <v>0.26600000000000001</v>
      </c>
      <c r="Z222" s="69">
        <v>3.24</v>
      </c>
      <c r="AA222" s="68">
        <v>0.90700000000000003</v>
      </c>
      <c r="AB222" s="70">
        <v>2.33</v>
      </c>
      <c r="AC222" s="321">
        <v>0</v>
      </c>
      <c r="AD222" s="351" t="s">
        <v>1914</v>
      </c>
      <c r="AE222" s="60" t="s">
        <v>1897</v>
      </c>
    </row>
    <row r="223" spans="1:31" s="325" customFormat="1" ht="12.75" customHeight="1" outlineLevel="1">
      <c r="A223" s="365" t="s">
        <v>1920</v>
      </c>
      <c r="B223" s="60" t="s">
        <v>1921</v>
      </c>
      <c r="C223" s="60" t="s">
        <v>1917</v>
      </c>
      <c r="D223" s="61" t="s">
        <v>1894</v>
      </c>
      <c r="E223" s="60" t="s">
        <v>1895</v>
      </c>
      <c r="F223" s="62">
        <v>1256</v>
      </c>
      <c r="G223" s="63" t="s">
        <v>268</v>
      </c>
      <c r="H223" s="64">
        <v>3420</v>
      </c>
      <c r="I223" s="65">
        <v>983</v>
      </c>
      <c r="J223" s="65">
        <v>2430</v>
      </c>
      <c r="K223" s="66">
        <v>5.76</v>
      </c>
      <c r="L223" s="107">
        <v>5.47</v>
      </c>
      <c r="M223" s="107">
        <v>2.52</v>
      </c>
      <c r="N223" s="107">
        <v>2.95</v>
      </c>
      <c r="O223" s="107">
        <v>0.28100000000000003</v>
      </c>
      <c r="P223" s="66">
        <v>0.221</v>
      </c>
      <c r="Q223" s="107">
        <v>0.20599999999999999</v>
      </c>
      <c r="R223" s="107">
        <v>0.157</v>
      </c>
      <c r="S223" s="107">
        <v>4.8800000000000003E-2</v>
      </c>
      <c r="T223" s="107">
        <v>1.4800000000000001E-2</v>
      </c>
      <c r="U223" s="66">
        <v>5.54</v>
      </c>
      <c r="V223" s="107">
        <v>5.27</v>
      </c>
      <c r="W223" s="107">
        <v>2.37</v>
      </c>
      <c r="X223" s="107">
        <v>2.9</v>
      </c>
      <c r="Y223" s="107">
        <v>0.26600000000000001</v>
      </c>
      <c r="Z223" s="69">
        <v>2.88</v>
      </c>
      <c r="AA223" s="68">
        <v>0.55000000000000004</v>
      </c>
      <c r="AB223" s="70">
        <v>2.33</v>
      </c>
      <c r="AC223" s="321">
        <v>0</v>
      </c>
      <c r="AD223" s="351" t="s">
        <v>1918</v>
      </c>
      <c r="AE223" s="60" t="s">
        <v>1897</v>
      </c>
    </row>
    <row r="224" spans="1:31" s="325" customFormat="1" ht="12.75" customHeight="1" outlineLevel="1">
      <c r="A224" s="365" t="s">
        <v>1922</v>
      </c>
      <c r="B224" s="60" t="s">
        <v>1923</v>
      </c>
      <c r="C224" s="60" t="s">
        <v>1913</v>
      </c>
      <c r="D224" s="61" t="s">
        <v>1894</v>
      </c>
      <c r="E224" s="60" t="s">
        <v>1895</v>
      </c>
      <c r="F224" s="62">
        <v>1269</v>
      </c>
      <c r="G224" s="63" t="s">
        <v>268</v>
      </c>
      <c r="H224" s="64">
        <v>4060</v>
      </c>
      <c r="I224" s="65">
        <v>1630</v>
      </c>
      <c r="J224" s="65">
        <v>2430</v>
      </c>
      <c r="K224" s="66">
        <v>10.5</v>
      </c>
      <c r="L224" s="107">
        <v>10.3</v>
      </c>
      <c r="M224" s="107">
        <v>3.93</v>
      </c>
      <c r="N224" s="107">
        <v>6.32</v>
      </c>
      <c r="O224" s="107">
        <v>0.28100000000000003</v>
      </c>
      <c r="P224" s="66">
        <v>0.24199999999999999</v>
      </c>
      <c r="Q224" s="107">
        <v>0.22700000000000001</v>
      </c>
      <c r="R224" s="107">
        <v>0.183</v>
      </c>
      <c r="S224" s="107">
        <v>4.3900000000000002E-2</v>
      </c>
      <c r="T224" s="107">
        <v>1.4800000000000001E-2</v>
      </c>
      <c r="U224" s="66">
        <v>10.3</v>
      </c>
      <c r="V224" s="107">
        <v>10</v>
      </c>
      <c r="W224" s="107">
        <v>3.75</v>
      </c>
      <c r="X224" s="107">
        <v>6.28</v>
      </c>
      <c r="Y224" s="107">
        <v>0.26600000000000001</v>
      </c>
      <c r="Z224" s="69">
        <v>3.24</v>
      </c>
      <c r="AA224" s="68">
        <v>0.90700000000000003</v>
      </c>
      <c r="AB224" s="70">
        <v>2.33</v>
      </c>
      <c r="AC224" s="321">
        <v>0</v>
      </c>
      <c r="AD224" s="351" t="s">
        <v>1914</v>
      </c>
      <c r="AE224" s="60" t="s">
        <v>1897</v>
      </c>
    </row>
    <row r="225" spans="1:31" s="325" customFormat="1" ht="12.75" customHeight="1" outlineLevel="1">
      <c r="A225" s="365" t="s">
        <v>1924</v>
      </c>
      <c r="B225" s="60" t="s">
        <v>1925</v>
      </c>
      <c r="C225" s="60" t="s">
        <v>1917</v>
      </c>
      <c r="D225" s="61" t="s">
        <v>1894</v>
      </c>
      <c r="E225" s="60" t="s">
        <v>1895</v>
      </c>
      <c r="F225" s="62">
        <v>1256</v>
      </c>
      <c r="G225" s="63" t="s">
        <v>268</v>
      </c>
      <c r="H225" s="64">
        <v>3420</v>
      </c>
      <c r="I225" s="65">
        <v>983</v>
      </c>
      <c r="J225" s="65">
        <v>2430</v>
      </c>
      <c r="K225" s="66">
        <v>5.76</v>
      </c>
      <c r="L225" s="107">
        <v>5.47</v>
      </c>
      <c r="M225" s="107">
        <v>2.52</v>
      </c>
      <c r="N225" s="107">
        <v>2.95</v>
      </c>
      <c r="O225" s="107">
        <v>0.28100000000000003</v>
      </c>
      <c r="P225" s="66">
        <v>0.221</v>
      </c>
      <c r="Q225" s="107">
        <v>0.20599999999999999</v>
      </c>
      <c r="R225" s="107">
        <v>0.157</v>
      </c>
      <c r="S225" s="107">
        <v>4.8800000000000003E-2</v>
      </c>
      <c r="T225" s="107">
        <v>1.4800000000000001E-2</v>
      </c>
      <c r="U225" s="66">
        <v>5.54</v>
      </c>
      <c r="V225" s="107">
        <v>5.27</v>
      </c>
      <c r="W225" s="107">
        <v>2.37</v>
      </c>
      <c r="X225" s="107">
        <v>2.9</v>
      </c>
      <c r="Y225" s="107">
        <v>0.26600000000000001</v>
      </c>
      <c r="Z225" s="69">
        <v>2.88</v>
      </c>
      <c r="AA225" s="68">
        <v>0.55000000000000004</v>
      </c>
      <c r="AB225" s="70">
        <v>2.33</v>
      </c>
      <c r="AC225" s="321">
        <v>0</v>
      </c>
      <c r="AD225" s="351" t="s">
        <v>1918</v>
      </c>
      <c r="AE225" s="60" t="s">
        <v>1897</v>
      </c>
    </row>
    <row r="226" spans="1:31" s="325" customFormat="1" ht="12.75" customHeight="1" outlineLevel="1">
      <c r="A226" s="365" t="s">
        <v>598</v>
      </c>
      <c r="B226" s="60" t="s">
        <v>1926</v>
      </c>
      <c r="C226" s="60" t="s">
        <v>1913</v>
      </c>
      <c r="D226" s="61" t="s">
        <v>1894</v>
      </c>
      <c r="E226" s="60" t="s">
        <v>1895</v>
      </c>
      <c r="F226" s="62">
        <v>1269</v>
      </c>
      <c r="G226" s="63" t="s">
        <v>268</v>
      </c>
      <c r="H226" s="64">
        <v>4060</v>
      </c>
      <c r="I226" s="65">
        <v>1630</v>
      </c>
      <c r="J226" s="65">
        <v>2430</v>
      </c>
      <c r="K226" s="66">
        <v>10.5</v>
      </c>
      <c r="L226" s="107">
        <v>10.3</v>
      </c>
      <c r="M226" s="107">
        <v>3.93</v>
      </c>
      <c r="N226" s="107">
        <v>6.32</v>
      </c>
      <c r="O226" s="107">
        <v>0.28100000000000003</v>
      </c>
      <c r="P226" s="66">
        <v>0.24199999999999999</v>
      </c>
      <c r="Q226" s="107">
        <v>0.22700000000000001</v>
      </c>
      <c r="R226" s="107">
        <v>0.183</v>
      </c>
      <c r="S226" s="107">
        <v>4.3900000000000002E-2</v>
      </c>
      <c r="T226" s="107">
        <v>1.4800000000000001E-2</v>
      </c>
      <c r="U226" s="66">
        <v>10.3</v>
      </c>
      <c r="V226" s="107">
        <v>10</v>
      </c>
      <c r="W226" s="107">
        <v>3.75</v>
      </c>
      <c r="X226" s="107">
        <v>6.28</v>
      </c>
      <c r="Y226" s="107">
        <v>0.26600000000000001</v>
      </c>
      <c r="Z226" s="69">
        <v>3.24</v>
      </c>
      <c r="AA226" s="68">
        <v>0.90700000000000003</v>
      </c>
      <c r="AB226" s="70">
        <v>2.33</v>
      </c>
      <c r="AC226" s="321">
        <v>0</v>
      </c>
      <c r="AD226" s="351" t="s">
        <v>1914</v>
      </c>
      <c r="AE226" s="60" t="s">
        <v>1897</v>
      </c>
    </row>
    <row r="227" spans="1:31" s="325" customFormat="1" ht="12.75" customHeight="1" outlineLevel="1">
      <c r="A227" s="365" t="s">
        <v>1927</v>
      </c>
      <c r="B227" s="60" t="s">
        <v>1928</v>
      </c>
      <c r="C227" s="60" t="s">
        <v>1917</v>
      </c>
      <c r="D227" s="61" t="s">
        <v>1894</v>
      </c>
      <c r="E227" s="60" t="s">
        <v>1895</v>
      </c>
      <c r="F227" s="62">
        <v>1256</v>
      </c>
      <c r="G227" s="63" t="s">
        <v>268</v>
      </c>
      <c r="H227" s="64">
        <v>3420</v>
      </c>
      <c r="I227" s="65">
        <v>983</v>
      </c>
      <c r="J227" s="65">
        <v>2430</v>
      </c>
      <c r="K227" s="66">
        <v>5.76</v>
      </c>
      <c r="L227" s="107">
        <v>5.47</v>
      </c>
      <c r="M227" s="107">
        <v>2.52</v>
      </c>
      <c r="N227" s="107">
        <v>2.95</v>
      </c>
      <c r="O227" s="107">
        <v>0.28100000000000003</v>
      </c>
      <c r="P227" s="66">
        <v>0.221</v>
      </c>
      <c r="Q227" s="107">
        <v>0.20599999999999999</v>
      </c>
      <c r="R227" s="107">
        <v>0.157</v>
      </c>
      <c r="S227" s="107">
        <v>4.8800000000000003E-2</v>
      </c>
      <c r="T227" s="107">
        <v>1.4800000000000001E-2</v>
      </c>
      <c r="U227" s="66">
        <v>5.54</v>
      </c>
      <c r="V227" s="107">
        <v>5.27</v>
      </c>
      <c r="W227" s="107">
        <v>2.37</v>
      </c>
      <c r="X227" s="107">
        <v>2.9</v>
      </c>
      <c r="Y227" s="107">
        <v>0.26600000000000001</v>
      </c>
      <c r="Z227" s="69">
        <v>2.88</v>
      </c>
      <c r="AA227" s="68">
        <v>0.55000000000000004</v>
      </c>
      <c r="AB227" s="70">
        <v>2.33</v>
      </c>
      <c r="AC227" s="321">
        <v>0</v>
      </c>
      <c r="AD227" s="351" t="s">
        <v>1918</v>
      </c>
      <c r="AE227" s="60" t="s">
        <v>1897</v>
      </c>
    </row>
    <row r="228" spans="1:31" s="325" customFormat="1" ht="12.75" customHeight="1" outlineLevel="1">
      <c r="A228" s="365" t="s">
        <v>1929</v>
      </c>
      <c r="B228" s="60" t="s">
        <v>1930</v>
      </c>
      <c r="C228" s="60" t="s">
        <v>1913</v>
      </c>
      <c r="D228" s="61" t="s">
        <v>1894</v>
      </c>
      <c r="E228" s="60" t="s">
        <v>1895</v>
      </c>
      <c r="F228" s="62">
        <v>1269</v>
      </c>
      <c r="G228" s="63" t="s">
        <v>268</v>
      </c>
      <c r="H228" s="64">
        <v>4060</v>
      </c>
      <c r="I228" s="65">
        <v>1630</v>
      </c>
      <c r="J228" s="65">
        <v>2430</v>
      </c>
      <c r="K228" s="66">
        <v>10.5</v>
      </c>
      <c r="L228" s="107">
        <v>10.3</v>
      </c>
      <c r="M228" s="107">
        <v>3.93</v>
      </c>
      <c r="N228" s="107">
        <v>6.32</v>
      </c>
      <c r="O228" s="107">
        <v>0.28100000000000003</v>
      </c>
      <c r="P228" s="66">
        <v>0.24199999999999999</v>
      </c>
      <c r="Q228" s="107">
        <v>0.22700000000000001</v>
      </c>
      <c r="R228" s="107">
        <v>0.183</v>
      </c>
      <c r="S228" s="107">
        <v>4.3900000000000002E-2</v>
      </c>
      <c r="T228" s="107">
        <v>1.4800000000000001E-2</v>
      </c>
      <c r="U228" s="66">
        <v>10.3</v>
      </c>
      <c r="V228" s="107">
        <v>10</v>
      </c>
      <c r="W228" s="107">
        <v>3.75</v>
      </c>
      <c r="X228" s="107">
        <v>6.28</v>
      </c>
      <c r="Y228" s="107">
        <v>0.26600000000000001</v>
      </c>
      <c r="Z228" s="69">
        <v>3.24</v>
      </c>
      <c r="AA228" s="68">
        <v>0.90700000000000003</v>
      </c>
      <c r="AB228" s="70">
        <v>2.33</v>
      </c>
      <c r="AC228" s="321">
        <v>0</v>
      </c>
      <c r="AD228" s="351" t="s">
        <v>1914</v>
      </c>
      <c r="AE228" s="60" t="s">
        <v>1897</v>
      </c>
    </row>
    <row r="229" spans="1:31" s="325" customFormat="1" ht="12.75" customHeight="1" outlineLevel="1">
      <c r="A229" s="365" t="s">
        <v>1931</v>
      </c>
      <c r="B229" s="60" t="s">
        <v>1932</v>
      </c>
      <c r="C229" s="60" t="s">
        <v>1917</v>
      </c>
      <c r="D229" s="61" t="s">
        <v>1894</v>
      </c>
      <c r="E229" s="60" t="s">
        <v>1895</v>
      </c>
      <c r="F229" s="62">
        <v>1256</v>
      </c>
      <c r="G229" s="63" t="s">
        <v>268</v>
      </c>
      <c r="H229" s="64">
        <v>3420</v>
      </c>
      <c r="I229" s="65">
        <v>983</v>
      </c>
      <c r="J229" s="65">
        <v>2430</v>
      </c>
      <c r="K229" s="66">
        <v>5.76</v>
      </c>
      <c r="L229" s="107">
        <v>5.47</v>
      </c>
      <c r="M229" s="107">
        <v>2.52</v>
      </c>
      <c r="N229" s="107">
        <v>2.95</v>
      </c>
      <c r="O229" s="107">
        <v>0.28100000000000003</v>
      </c>
      <c r="P229" s="66">
        <v>0.221</v>
      </c>
      <c r="Q229" s="107">
        <v>0.20599999999999999</v>
      </c>
      <c r="R229" s="107">
        <v>0.157</v>
      </c>
      <c r="S229" s="107">
        <v>4.8800000000000003E-2</v>
      </c>
      <c r="T229" s="107">
        <v>1.4800000000000001E-2</v>
      </c>
      <c r="U229" s="66">
        <v>5.54</v>
      </c>
      <c r="V229" s="107">
        <v>5.27</v>
      </c>
      <c r="W229" s="107">
        <v>2.37</v>
      </c>
      <c r="X229" s="107">
        <v>2.9</v>
      </c>
      <c r="Y229" s="107">
        <v>0.26600000000000001</v>
      </c>
      <c r="Z229" s="69">
        <v>2.88</v>
      </c>
      <c r="AA229" s="68">
        <v>0.55000000000000004</v>
      </c>
      <c r="AB229" s="70">
        <v>2.33</v>
      </c>
      <c r="AC229" s="321">
        <v>0</v>
      </c>
      <c r="AD229" s="351" t="s">
        <v>1918</v>
      </c>
      <c r="AE229" s="60" t="s">
        <v>1897</v>
      </c>
    </row>
    <row r="230" spans="1:31" s="325" customFormat="1" ht="12.75" customHeight="1" outlineLevel="1">
      <c r="A230" s="365" t="s">
        <v>1933</v>
      </c>
      <c r="B230" s="60" t="s">
        <v>1934</v>
      </c>
      <c r="C230" s="60" t="s">
        <v>1935</v>
      </c>
      <c r="D230" s="61" t="s">
        <v>1894</v>
      </c>
      <c r="E230" s="60" t="s">
        <v>1895</v>
      </c>
      <c r="F230" s="381">
        <v>4.5999999999999996</v>
      </c>
      <c r="G230" s="63" t="s">
        <v>268</v>
      </c>
      <c r="H230" s="64">
        <v>3750</v>
      </c>
      <c r="I230" s="65">
        <v>1320</v>
      </c>
      <c r="J230" s="65">
        <v>2430</v>
      </c>
      <c r="K230" s="66">
        <v>8.56</v>
      </c>
      <c r="L230" s="107">
        <v>8.2799999999999994</v>
      </c>
      <c r="M230" s="107">
        <v>3.77</v>
      </c>
      <c r="N230" s="107">
        <v>4.51</v>
      </c>
      <c r="O230" s="107">
        <v>0.28199999999999997</v>
      </c>
      <c r="P230" s="66">
        <v>0.32500000000000001</v>
      </c>
      <c r="Q230" s="107">
        <v>0.31</v>
      </c>
      <c r="R230" s="107">
        <v>0.31</v>
      </c>
      <c r="S230" s="107">
        <v>0</v>
      </c>
      <c r="T230" s="107">
        <v>1.52E-2</v>
      </c>
      <c r="U230" s="66">
        <v>8.24</v>
      </c>
      <c r="V230" s="107">
        <v>7.97</v>
      </c>
      <c r="W230" s="107">
        <v>3.46</v>
      </c>
      <c r="X230" s="107">
        <v>4.51</v>
      </c>
      <c r="Y230" s="107">
        <v>0.26600000000000001</v>
      </c>
      <c r="Z230" s="69">
        <v>3.05</v>
      </c>
      <c r="AA230" s="68">
        <v>0.71699999999999997</v>
      </c>
      <c r="AB230" s="70">
        <v>2.33</v>
      </c>
      <c r="AC230" s="321">
        <v>0</v>
      </c>
      <c r="AD230" s="351" t="s">
        <v>1936</v>
      </c>
      <c r="AE230" s="60"/>
    </row>
    <row r="231" spans="1:31" s="325" customFormat="1" ht="12.75" customHeight="1" outlineLevel="1">
      <c r="A231" s="365" t="s">
        <v>1937</v>
      </c>
      <c r="B231" s="60" t="s">
        <v>1938</v>
      </c>
      <c r="C231" s="60" t="s">
        <v>1939</v>
      </c>
      <c r="D231" s="61" t="s">
        <v>1894</v>
      </c>
      <c r="E231" s="60" t="s">
        <v>1895</v>
      </c>
      <c r="F231" s="381">
        <v>4</v>
      </c>
      <c r="G231" s="63" t="s">
        <v>268</v>
      </c>
      <c r="H231" s="64">
        <v>3680</v>
      </c>
      <c r="I231" s="65">
        <v>1250</v>
      </c>
      <c r="J231" s="65">
        <v>2430</v>
      </c>
      <c r="K231" s="66">
        <v>8.36</v>
      </c>
      <c r="L231" s="107">
        <v>8.08</v>
      </c>
      <c r="M231" s="107">
        <v>3.63</v>
      </c>
      <c r="N231" s="107">
        <v>4.4400000000000004</v>
      </c>
      <c r="O231" s="107">
        <v>0.28199999999999997</v>
      </c>
      <c r="P231" s="66">
        <v>0.30199999999999999</v>
      </c>
      <c r="Q231" s="107">
        <v>0.28699999999999998</v>
      </c>
      <c r="R231" s="107">
        <v>0.28699999999999998</v>
      </c>
      <c r="S231" s="107">
        <v>0</v>
      </c>
      <c r="T231" s="107">
        <v>1.52E-2</v>
      </c>
      <c r="U231" s="66">
        <v>8.06</v>
      </c>
      <c r="V231" s="107">
        <v>7.79</v>
      </c>
      <c r="W231" s="107">
        <v>3.35</v>
      </c>
      <c r="X231" s="107">
        <v>4.4400000000000004</v>
      </c>
      <c r="Y231" s="107">
        <v>0.26600000000000001</v>
      </c>
      <c r="Z231" s="69">
        <v>3.02</v>
      </c>
      <c r="AA231" s="68">
        <v>0.68600000000000005</v>
      </c>
      <c r="AB231" s="70">
        <v>2.33</v>
      </c>
      <c r="AC231" s="321">
        <v>0</v>
      </c>
      <c r="AD231" s="351" t="s">
        <v>1940</v>
      </c>
      <c r="AE231" s="60"/>
    </row>
    <row r="232" spans="1:31" s="325" customFormat="1" ht="12.75" customHeight="1" outlineLevel="1">
      <c r="A232" s="365" t="s">
        <v>1941</v>
      </c>
      <c r="B232" s="60" t="s">
        <v>1942</v>
      </c>
      <c r="C232" s="60" t="s">
        <v>1943</v>
      </c>
      <c r="D232" s="61" t="s">
        <v>1894</v>
      </c>
      <c r="E232" s="60" t="s">
        <v>1895</v>
      </c>
      <c r="F232" s="381">
        <v>4.8</v>
      </c>
      <c r="G232" s="63" t="s">
        <v>268</v>
      </c>
      <c r="H232" s="64">
        <v>3660</v>
      </c>
      <c r="I232" s="65">
        <v>1230</v>
      </c>
      <c r="J232" s="65">
        <v>2430</v>
      </c>
      <c r="K232" s="66">
        <v>8.3699999999999992</v>
      </c>
      <c r="L232" s="107">
        <v>8.09</v>
      </c>
      <c r="M232" s="107">
        <v>3.56</v>
      </c>
      <c r="N232" s="107">
        <v>4.5199999999999996</v>
      </c>
      <c r="O232" s="107">
        <v>0.28199999999999997</v>
      </c>
      <c r="P232" s="66">
        <v>0.28199999999999997</v>
      </c>
      <c r="Q232" s="107">
        <v>0.26700000000000002</v>
      </c>
      <c r="R232" s="107">
        <v>0.26700000000000002</v>
      </c>
      <c r="S232" s="107">
        <v>0</v>
      </c>
      <c r="T232" s="107">
        <v>1.52E-2</v>
      </c>
      <c r="U232" s="66">
        <v>8.09</v>
      </c>
      <c r="V232" s="107">
        <v>7.82</v>
      </c>
      <c r="W232" s="107">
        <v>3.3</v>
      </c>
      <c r="X232" s="107">
        <v>4.5199999999999996</v>
      </c>
      <c r="Y232" s="107">
        <v>0.26600000000000001</v>
      </c>
      <c r="Z232" s="69">
        <v>3.01</v>
      </c>
      <c r="AA232" s="68">
        <v>0.67800000000000005</v>
      </c>
      <c r="AB232" s="70">
        <v>2.33</v>
      </c>
      <c r="AC232" s="321">
        <v>0</v>
      </c>
      <c r="AD232" s="351" t="s">
        <v>1944</v>
      </c>
      <c r="AE232" s="60"/>
    </row>
    <row r="233" spans="1:31" s="325" customFormat="1" ht="12.75" customHeight="1" outlineLevel="1">
      <c r="A233" s="365" t="s">
        <v>1945</v>
      </c>
      <c r="B233" s="60" t="s">
        <v>1946</v>
      </c>
      <c r="C233" s="60" t="s">
        <v>1947</v>
      </c>
      <c r="D233" s="61" t="s">
        <v>1894</v>
      </c>
      <c r="E233" s="60" t="s">
        <v>1895</v>
      </c>
      <c r="F233" s="381">
        <v>4.8</v>
      </c>
      <c r="G233" s="63" t="s">
        <v>268</v>
      </c>
      <c r="H233" s="64">
        <v>3690</v>
      </c>
      <c r="I233" s="65">
        <v>1260</v>
      </c>
      <c r="J233" s="65">
        <v>2430</v>
      </c>
      <c r="K233" s="66">
        <v>7.95</v>
      </c>
      <c r="L233" s="107">
        <v>7.67</v>
      </c>
      <c r="M233" s="107">
        <v>3.66</v>
      </c>
      <c r="N233" s="107">
        <v>4.01</v>
      </c>
      <c r="O233" s="107">
        <v>0.28199999999999997</v>
      </c>
      <c r="P233" s="66">
        <v>0.318</v>
      </c>
      <c r="Q233" s="107">
        <v>0.30299999999999999</v>
      </c>
      <c r="R233" s="107">
        <v>0.30299999999999999</v>
      </c>
      <c r="S233" s="107">
        <v>0</v>
      </c>
      <c r="T233" s="107">
        <v>1.52E-2</v>
      </c>
      <c r="U233" s="66">
        <v>7.64</v>
      </c>
      <c r="V233" s="107">
        <v>7.37</v>
      </c>
      <c r="W233" s="107">
        <v>3.36</v>
      </c>
      <c r="X233" s="107">
        <v>4.01</v>
      </c>
      <c r="Y233" s="107">
        <v>0.26600000000000001</v>
      </c>
      <c r="Z233" s="69">
        <v>3.06</v>
      </c>
      <c r="AA233" s="68">
        <v>0.72799999999999998</v>
      </c>
      <c r="AB233" s="70">
        <v>2.33</v>
      </c>
      <c r="AC233" s="321">
        <v>0</v>
      </c>
      <c r="AD233" s="351" t="s">
        <v>1948</v>
      </c>
      <c r="AE233" s="60"/>
    </row>
    <row r="234" spans="1:31" s="325" customFormat="1" ht="12.75" customHeight="1" outlineLevel="1">
      <c r="A234" s="365" t="s">
        <v>1949</v>
      </c>
      <c r="B234" s="60" t="s">
        <v>1950</v>
      </c>
      <c r="C234" s="60" t="s">
        <v>1951</v>
      </c>
      <c r="D234" s="61" t="s">
        <v>1894</v>
      </c>
      <c r="E234" s="60" t="s">
        <v>1895</v>
      </c>
      <c r="F234" s="381">
        <v>5.4</v>
      </c>
      <c r="G234" s="63" t="s">
        <v>268</v>
      </c>
      <c r="H234" s="64">
        <v>3720</v>
      </c>
      <c r="I234" s="65">
        <v>1290</v>
      </c>
      <c r="J234" s="65">
        <v>2430</v>
      </c>
      <c r="K234" s="66">
        <v>8.06</v>
      </c>
      <c r="L234" s="107">
        <v>7.78</v>
      </c>
      <c r="M234" s="107">
        <v>3.74</v>
      </c>
      <c r="N234" s="107">
        <v>4.04</v>
      </c>
      <c r="O234" s="107">
        <v>0.28199999999999997</v>
      </c>
      <c r="P234" s="66">
        <v>0.32100000000000001</v>
      </c>
      <c r="Q234" s="107">
        <v>0.30599999999999999</v>
      </c>
      <c r="R234" s="107">
        <v>0.30599999999999999</v>
      </c>
      <c r="S234" s="107">
        <v>0</v>
      </c>
      <c r="T234" s="107">
        <v>1.52E-2</v>
      </c>
      <c r="U234" s="66">
        <v>7.74</v>
      </c>
      <c r="V234" s="107">
        <v>7.47</v>
      </c>
      <c r="W234" s="107">
        <v>3.43</v>
      </c>
      <c r="X234" s="107">
        <v>4.04</v>
      </c>
      <c r="Y234" s="107">
        <v>0.26600000000000001</v>
      </c>
      <c r="Z234" s="69">
        <v>3.07</v>
      </c>
      <c r="AA234" s="68">
        <v>0.74199999999999999</v>
      </c>
      <c r="AB234" s="70">
        <v>2.33</v>
      </c>
      <c r="AC234" s="321">
        <v>0</v>
      </c>
      <c r="AD234" s="351" t="s">
        <v>1952</v>
      </c>
      <c r="AE234" s="60"/>
    </row>
    <row r="235" spans="1:31" s="325" customFormat="1" ht="12.75" customHeight="1" outlineLevel="1">
      <c r="A235" s="365" t="s">
        <v>1953</v>
      </c>
      <c r="B235" s="60" t="s">
        <v>1954</v>
      </c>
      <c r="C235" s="60" t="s">
        <v>1955</v>
      </c>
      <c r="D235" s="61" t="s">
        <v>1894</v>
      </c>
      <c r="E235" s="60" t="s">
        <v>1895</v>
      </c>
      <c r="F235" s="381">
        <v>5.6</v>
      </c>
      <c r="G235" s="63" t="s">
        <v>268</v>
      </c>
      <c r="H235" s="64">
        <v>4240</v>
      </c>
      <c r="I235" s="65">
        <v>1810</v>
      </c>
      <c r="J235" s="65">
        <v>2430</v>
      </c>
      <c r="K235" s="66">
        <v>10.4</v>
      </c>
      <c r="L235" s="107">
        <v>10.1</v>
      </c>
      <c r="M235" s="107">
        <v>5.05</v>
      </c>
      <c r="N235" s="107">
        <v>5.03</v>
      </c>
      <c r="O235" s="107">
        <v>0.28199999999999997</v>
      </c>
      <c r="P235" s="66">
        <v>0.33100000000000002</v>
      </c>
      <c r="Q235" s="107">
        <v>0.316</v>
      </c>
      <c r="R235" s="107">
        <v>0.316</v>
      </c>
      <c r="S235" s="107">
        <v>0</v>
      </c>
      <c r="T235" s="107">
        <v>1.52E-2</v>
      </c>
      <c r="U235" s="66">
        <v>10</v>
      </c>
      <c r="V235" s="107">
        <v>9.77</v>
      </c>
      <c r="W235" s="107">
        <v>4.74</v>
      </c>
      <c r="X235" s="107">
        <v>5.03</v>
      </c>
      <c r="Y235" s="107">
        <v>0.26600000000000001</v>
      </c>
      <c r="Z235" s="69">
        <v>3.38</v>
      </c>
      <c r="AA235" s="68">
        <v>1.05</v>
      </c>
      <c r="AB235" s="70">
        <v>2.33</v>
      </c>
      <c r="AC235" s="321">
        <v>0</v>
      </c>
      <c r="AD235" s="351" t="s">
        <v>1956</v>
      </c>
      <c r="AE235" s="60"/>
    </row>
    <row r="236" spans="1:31" s="325" customFormat="1" ht="12.75" customHeight="1" outlineLevel="1">
      <c r="A236" s="365" t="s">
        <v>1957</v>
      </c>
      <c r="B236" s="60" t="s">
        <v>1958</v>
      </c>
      <c r="C236" s="60" t="s">
        <v>1959</v>
      </c>
      <c r="D236" s="61" t="s">
        <v>1894</v>
      </c>
      <c r="E236" s="60" t="s">
        <v>1895</v>
      </c>
      <c r="F236" s="381">
        <v>5.76</v>
      </c>
      <c r="G236" s="63" t="s">
        <v>268</v>
      </c>
      <c r="H236" s="64">
        <v>4190</v>
      </c>
      <c r="I236" s="65">
        <v>1760</v>
      </c>
      <c r="J236" s="65">
        <v>2430</v>
      </c>
      <c r="K236" s="66">
        <v>9.6199999999999992</v>
      </c>
      <c r="L236" s="107">
        <v>9.34</v>
      </c>
      <c r="M236" s="107">
        <v>4.88</v>
      </c>
      <c r="N236" s="107">
        <v>4.46</v>
      </c>
      <c r="O236" s="107">
        <v>0.28199999999999997</v>
      </c>
      <c r="P236" s="66">
        <v>0.32500000000000001</v>
      </c>
      <c r="Q236" s="107">
        <v>0.31</v>
      </c>
      <c r="R236" s="107">
        <v>0.31</v>
      </c>
      <c r="S236" s="107">
        <v>0</v>
      </c>
      <c r="T236" s="107">
        <v>1.52E-2</v>
      </c>
      <c r="U236" s="66">
        <v>9.3000000000000007</v>
      </c>
      <c r="V236" s="107">
        <v>9.0299999999999994</v>
      </c>
      <c r="W236" s="107">
        <v>4.57</v>
      </c>
      <c r="X236" s="107">
        <v>4.46</v>
      </c>
      <c r="Y236" s="107">
        <v>0.26600000000000001</v>
      </c>
      <c r="Z236" s="69">
        <v>3.38</v>
      </c>
      <c r="AA236" s="68">
        <v>1.05</v>
      </c>
      <c r="AB236" s="70">
        <v>2.33</v>
      </c>
      <c r="AC236" s="321">
        <v>0</v>
      </c>
      <c r="AD236" s="351" t="s">
        <v>1960</v>
      </c>
      <c r="AE236" s="60"/>
    </row>
    <row r="237" spans="1:31" s="325" customFormat="1" ht="12.75" customHeight="1" outlineLevel="1">
      <c r="A237" s="365" t="s">
        <v>1961</v>
      </c>
      <c r="B237" s="60" t="s">
        <v>1962</v>
      </c>
      <c r="C237" s="60" t="s">
        <v>1963</v>
      </c>
      <c r="D237" s="61" t="s">
        <v>1894</v>
      </c>
      <c r="E237" s="60" t="s">
        <v>1895</v>
      </c>
      <c r="F237" s="381">
        <v>5.76</v>
      </c>
      <c r="G237" s="63" t="s">
        <v>268</v>
      </c>
      <c r="H237" s="64">
        <v>4190</v>
      </c>
      <c r="I237" s="65">
        <v>1760</v>
      </c>
      <c r="J237" s="65">
        <v>2430</v>
      </c>
      <c r="K237" s="66">
        <v>9.6199999999999992</v>
      </c>
      <c r="L237" s="107">
        <v>9.34</v>
      </c>
      <c r="M237" s="107">
        <v>4.88</v>
      </c>
      <c r="N237" s="107">
        <v>4.46</v>
      </c>
      <c r="O237" s="107">
        <v>0.28199999999999997</v>
      </c>
      <c r="P237" s="66">
        <v>0.32500000000000001</v>
      </c>
      <c r="Q237" s="107">
        <v>0.31</v>
      </c>
      <c r="R237" s="107">
        <v>0.31</v>
      </c>
      <c r="S237" s="107">
        <v>0</v>
      </c>
      <c r="T237" s="107">
        <v>1.52E-2</v>
      </c>
      <c r="U237" s="66">
        <v>9.3000000000000007</v>
      </c>
      <c r="V237" s="107">
        <v>9.0299999999999994</v>
      </c>
      <c r="W237" s="107">
        <v>4.57</v>
      </c>
      <c r="X237" s="107">
        <v>4.46</v>
      </c>
      <c r="Y237" s="107">
        <v>0.26600000000000001</v>
      </c>
      <c r="Z237" s="69">
        <v>3.38</v>
      </c>
      <c r="AA237" s="68">
        <v>1.05</v>
      </c>
      <c r="AB237" s="70">
        <v>2.33</v>
      </c>
      <c r="AC237" s="321">
        <v>0</v>
      </c>
      <c r="AD237" s="351" t="s">
        <v>1964</v>
      </c>
      <c r="AE237" s="60"/>
    </row>
    <row r="238" spans="1:31" s="305" customFormat="1">
      <c r="A238" s="323" t="s">
        <v>1965</v>
      </c>
      <c r="B238" s="217" t="s">
        <v>1966</v>
      </c>
      <c r="C238" s="45" t="s">
        <v>1967</v>
      </c>
      <c r="D238" s="382" t="s">
        <v>1968</v>
      </c>
      <c r="E238" s="30" t="s">
        <v>1969</v>
      </c>
      <c r="F238" s="71">
        <v>1100</v>
      </c>
      <c r="G238" s="47" t="s">
        <v>268</v>
      </c>
      <c r="H238" s="33">
        <v>8110</v>
      </c>
      <c r="I238" s="85">
        <v>4860</v>
      </c>
      <c r="J238" s="34">
        <v>3240</v>
      </c>
      <c r="K238" s="86">
        <v>25.5</v>
      </c>
      <c r="L238" s="307">
        <v>25.3</v>
      </c>
      <c r="M238" s="39">
        <v>17.100000000000001</v>
      </c>
      <c r="N238" s="39">
        <v>8.14</v>
      </c>
      <c r="O238" s="36">
        <v>0.23699999999999999</v>
      </c>
      <c r="P238" s="86">
        <v>0.84399999999999997</v>
      </c>
      <c r="Q238" s="307">
        <v>0.83</v>
      </c>
      <c r="R238" s="36">
        <v>0.83</v>
      </c>
      <c r="S238" s="36">
        <v>0</v>
      </c>
      <c r="T238" s="36">
        <v>1.3299999999999999E-2</v>
      </c>
      <c r="U238" s="86">
        <v>24.7</v>
      </c>
      <c r="V238" s="307">
        <v>24.4</v>
      </c>
      <c r="W238" s="36">
        <v>16.3</v>
      </c>
      <c r="X238" s="36">
        <v>8.14</v>
      </c>
      <c r="Y238" s="36">
        <v>0.224</v>
      </c>
      <c r="Z238" s="72">
        <v>5.84</v>
      </c>
      <c r="AA238" s="77">
        <v>2.74</v>
      </c>
      <c r="AB238" s="73">
        <v>3.1</v>
      </c>
      <c r="AC238" s="308">
        <v>0</v>
      </c>
      <c r="AD238" s="109" t="s">
        <v>1970</v>
      </c>
      <c r="AE238" s="30" t="s">
        <v>1971</v>
      </c>
    </row>
    <row r="239" spans="1:31" s="305" customFormat="1">
      <c r="A239" s="323" t="s">
        <v>1972</v>
      </c>
      <c r="B239" s="217" t="s">
        <v>1973</v>
      </c>
      <c r="C239" s="45" t="s">
        <v>1974</v>
      </c>
      <c r="D239" s="88" t="s">
        <v>1975</v>
      </c>
      <c r="E239" s="30" t="s">
        <v>1976</v>
      </c>
      <c r="F239" s="71">
        <v>1000</v>
      </c>
      <c r="G239" s="47" t="s">
        <v>268</v>
      </c>
      <c r="H239" s="33">
        <v>7880</v>
      </c>
      <c r="I239" s="85">
        <v>5070</v>
      </c>
      <c r="J239" s="34">
        <v>2810</v>
      </c>
      <c r="K239" s="81">
        <v>23.6</v>
      </c>
      <c r="L239" s="89">
        <v>23.4</v>
      </c>
      <c r="M239" s="39">
        <v>11.5</v>
      </c>
      <c r="N239" s="39">
        <v>11.9</v>
      </c>
      <c r="O239" s="89">
        <v>0.22</v>
      </c>
      <c r="P239" s="86">
        <v>0.42099999999999999</v>
      </c>
      <c r="Q239" s="89">
        <v>0.41</v>
      </c>
      <c r="R239" s="36">
        <v>0.41</v>
      </c>
      <c r="S239" s="36">
        <v>0</v>
      </c>
      <c r="T239" s="39">
        <v>1.11E-2</v>
      </c>
      <c r="U239" s="86">
        <v>23.1</v>
      </c>
      <c r="V239" s="89">
        <v>22.9</v>
      </c>
      <c r="W239" s="36">
        <v>11</v>
      </c>
      <c r="X239" s="36">
        <v>11.9</v>
      </c>
      <c r="Y239" s="39">
        <v>0.20899999999999999</v>
      </c>
      <c r="Z239" s="72">
        <v>5.18</v>
      </c>
      <c r="AA239" s="77">
        <v>2.52</v>
      </c>
      <c r="AB239" s="73">
        <v>2.67</v>
      </c>
      <c r="AC239" s="308">
        <v>0</v>
      </c>
      <c r="AD239" s="109" t="s">
        <v>1977</v>
      </c>
      <c r="AE239" s="30" t="s">
        <v>1978</v>
      </c>
    </row>
    <row r="240" spans="1:31" s="305" customFormat="1">
      <c r="A240" s="1358">
        <v>9.01</v>
      </c>
      <c r="B240" s="1228" t="s">
        <v>3910</v>
      </c>
      <c r="C240" s="45" t="s">
        <v>3911</v>
      </c>
      <c r="D240" s="88"/>
      <c r="E240" s="30"/>
      <c r="F240" s="71"/>
      <c r="G240" s="47"/>
      <c r="H240" s="33"/>
      <c r="I240" s="85"/>
      <c r="J240" s="34"/>
      <c r="K240" s="81"/>
      <c r="L240" s="89"/>
      <c r="M240" s="39"/>
      <c r="N240" s="39"/>
      <c r="O240" s="89"/>
      <c r="P240" s="86"/>
      <c r="Q240" s="89"/>
      <c r="R240" s="36"/>
      <c r="S240" s="36"/>
      <c r="T240" s="39"/>
      <c r="U240" s="86"/>
      <c r="V240" s="89"/>
      <c r="W240" s="36"/>
      <c r="X240" s="36"/>
      <c r="Y240" s="39"/>
      <c r="Z240" s="72"/>
      <c r="AA240" s="77"/>
      <c r="AB240" s="73"/>
      <c r="AC240" s="36"/>
      <c r="AD240" s="109" t="s">
        <v>3912</v>
      </c>
      <c r="AE240" s="30"/>
    </row>
    <row r="241" spans="1:31" s="305" customFormat="1">
      <c r="A241" s="1356" t="s">
        <v>3913</v>
      </c>
      <c r="B241" s="60" t="s">
        <v>3914</v>
      </c>
      <c r="C241" s="60" t="s">
        <v>3915</v>
      </c>
      <c r="D241" s="61"/>
      <c r="E241" s="60"/>
      <c r="F241" s="1359">
        <v>0.28399999999999997</v>
      </c>
      <c r="G241" s="63" t="s">
        <v>268</v>
      </c>
      <c r="H241" s="64">
        <v>3080</v>
      </c>
      <c r="I241" s="65">
        <v>3080</v>
      </c>
      <c r="J241" s="65">
        <v>0</v>
      </c>
      <c r="K241" s="66">
        <v>21.1</v>
      </c>
      <c r="L241" s="107">
        <v>21.1</v>
      </c>
      <c r="M241" s="107">
        <v>16.399999999999999</v>
      </c>
      <c r="N241" s="107">
        <v>4.72</v>
      </c>
      <c r="O241" s="107">
        <v>0</v>
      </c>
      <c r="P241" s="66">
        <v>10.3</v>
      </c>
      <c r="Q241" s="107">
        <v>10.3</v>
      </c>
      <c r="R241" s="107">
        <v>5.6</v>
      </c>
      <c r="S241" s="107">
        <v>4.72</v>
      </c>
      <c r="T241" s="107">
        <v>0</v>
      </c>
      <c r="U241" s="66">
        <v>10.8</v>
      </c>
      <c r="V241" s="107">
        <v>10.8</v>
      </c>
      <c r="W241" s="107">
        <v>10.8</v>
      </c>
      <c r="X241" s="107">
        <v>0</v>
      </c>
      <c r="Y241" s="107">
        <v>0</v>
      </c>
      <c r="Z241" s="69">
        <v>0.83499999999999996</v>
      </c>
      <c r="AA241" s="68">
        <v>0.83499999999999996</v>
      </c>
      <c r="AB241" s="70">
        <v>0</v>
      </c>
      <c r="AC241" s="70">
        <v>0.41199999999999998</v>
      </c>
      <c r="AD241" s="351" t="s">
        <v>3916</v>
      </c>
      <c r="AE241" s="60"/>
    </row>
    <row r="242" spans="1:31" s="305" customFormat="1" ht="25.5">
      <c r="A242" s="1356" t="s">
        <v>3917</v>
      </c>
      <c r="B242" s="60" t="s">
        <v>3918</v>
      </c>
      <c r="C242" s="60" t="s">
        <v>3919</v>
      </c>
      <c r="D242" s="61"/>
      <c r="E242" s="60"/>
      <c r="F242" s="1359">
        <v>0.54200000000000004</v>
      </c>
      <c r="G242" s="63" t="s">
        <v>268</v>
      </c>
      <c r="H242" s="64">
        <v>2010</v>
      </c>
      <c r="I242" s="65">
        <v>2010</v>
      </c>
      <c r="J242" s="65">
        <v>0</v>
      </c>
      <c r="K242" s="66">
        <v>16.100000000000001</v>
      </c>
      <c r="L242" s="107">
        <v>16.100000000000001</v>
      </c>
      <c r="M242" s="107">
        <v>10.5</v>
      </c>
      <c r="N242" s="107">
        <v>5.55</v>
      </c>
      <c r="O242" s="107">
        <v>0</v>
      </c>
      <c r="P242" s="66">
        <v>9.17</v>
      </c>
      <c r="Q242" s="107">
        <v>9.17</v>
      </c>
      <c r="R242" s="107">
        <v>3.62</v>
      </c>
      <c r="S242" s="107">
        <v>5.55</v>
      </c>
      <c r="T242" s="107">
        <v>0</v>
      </c>
      <c r="U242" s="66">
        <v>6.88</v>
      </c>
      <c r="V242" s="107">
        <v>6.88</v>
      </c>
      <c r="W242" s="107">
        <v>6.88</v>
      </c>
      <c r="X242" s="107">
        <v>0</v>
      </c>
      <c r="Y242" s="107">
        <v>0</v>
      </c>
      <c r="Z242" s="69">
        <v>0.54600000000000004</v>
      </c>
      <c r="AA242" s="68">
        <v>0.54600000000000004</v>
      </c>
      <c r="AB242" s="70">
        <v>0</v>
      </c>
      <c r="AC242" s="70">
        <v>0.48499999999999999</v>
      </c>
      <c r="AD242" s="351" t="s">
        <v>3920</v>
      </c>
      <c r="AE242" s="60"/>
    </row>
    <row r="243" spans="1:31" s="305" customFormat="1">
      <c r="A243" s="323" t="s">
        <v>1979</v>
      </c>
      <c r="B243" s="217" t="s">
        <v>1980</v>
      </c>
      <c r="C243" s="45" t="s">
        <v>1981</v>
      </c>
      <c r="D243" s="88" t="s">
        <v>1982</v>
      </c>
      <c r="E243" s="30" t="s">
        <v>1983</v>
      </c>
      <c r="F243" s="71">
        <v>650</v>
      </c>
      <c r="G243" s="47" t="s">
        <v>268</v>
      </c>
      <c r="H243" s="33">
        <v>3450</v>
      </c>
      <c r="I243" s="85">
        <v>3250</v>
      </c>
      <c r="J243" s="383">
        <v>206</v>
      </c>
      <c r="K243" s="86">
        <v>20.8</v>
      </c>
      <c r="L243" s="307">
        <v>20.6</v>
      </c>
      <c r="M243" s="39">
        <v>16</v>
      </c>
      <c r="N243" s="39">
        <v>4.6100000000000003</v>
      </c>
      <c r="O243" s="36">
        <v>0.185</v>
      </c>
      <c r="P243" s="86">
        <v>13</v>
      </c>
      <c r="Q243" s="307">
        <v>13</v>
      </c>
      <c r="R243" s="36">
        <v>8.41</v>
      </c>
      <c r="S243" s="36">
        <v>4.6100000000000003</v>
      </c>
      <c r="T243" s="36">
        <v>1.2800000000000001E-2</v>
      </c>
      <c r="U243" s="86">
        <v>7.73</v>
      </c>
      <c r="V243" s="307">
        <v>7.56</v>
      </c>
      <c r="W243" s="36">
        <v>7.56</v>
      </c>
      <c r="X243" s="36">
        <v>0</v>
      </c>
      <c r="Y243" s="36">
        <v>0.17199999999999999</v>
      </c>
      <c r="Z243" s="72">
        <v>1.67</v>
      </c>
      <c r="AA243" s="77">
        <v>1.61</v>
      </c>
      <c r="AB243" s="52">
        <v>5.8000000000000003E-2</v>
      </c>
      <c r="AC243" s="308">
        <v>0.40400000000000003</v>
      </c>
      <c r="AD243" s="109" t="s">
        <v>1984</v>
      </c>
      <c r="AE243" s="30" t="s">
        <v>1985</v>
      </c>
    </row>
    <row r="244" spans="1:31" s="305" customFormat="1">
      <c r="A244" s="323" t="s">
        <v>766</v>
      </c>
      <c r="B244" s="217" t="s">
        <v>1986</v>
      </c>
      <c r="C244" s="45" t="s">
        <v>1987</v>
      </c>
      <c r="D244" s="44" t="s">
        <v>1901</v>
      </c>
      <c r="E244" s="30" t="s">
        <v>1902</v>
      </c>
      <c r="F244" s="71">
        <v>920</v>
      </c>
      <c r="G244" s="47" t="s">
        <v>268</v>
      </c>
      <c r="H244" s="33">
        <v>6930</v>
      </c>
      <c r="I244" s="85">
        <v>4120</v>
      </c>
      <c r="J244" s="34">
        <v>2810</v>
      </c>
      <c r="K244" s="86">
        <v>25.7</v>
      </c>
      <c r="L244" s="307">
        <v>25.5</v>
      </c>
      <c r="M244" s="39">
        <v>13.6</v>
      </c>
      <c r="N244" s="39">
        <v>11.8</v>
      </c>
      <c r="O244" s="36">
        <v>0.22</v>
      </c>
      <c r="P244" s="86">
        <v>0.86399999999999999</v>
      </c>
      <c r="Q244" s="307">
        <v>0.85299999999999998</v>
      </c>
      <c r="R244" s="36">
        <v>0.85299999999999998</v>
      </c>
      <c r="S244" s="36">
        <v>0</v>
      </c>
      <c r="T244" s="36">
        <v>1.11E-2</v>
      </c>
      <c r="U244" s="86">
        <v>24.8</v>
      </c>
      <c r="V244" s="307">
        <v>24.6</v>
      </c>
      <c r="W244" s="36">
        <v>12.8</v>
      </c>
      <c r="X244" s="36">
        <v>11.8</v>
      </c>
      <c r="Y244" s="36">
        <v>0.20899999999999999</v>
      </c>
      <c r="Z244" s="72">
        <v>5.42</v>
      </c>
      <c r="AA244" s="77">
        <v>2.75</v>
      </c>
      <c r="AB244" s="73">
        <v>2.67</v>
      </c>
      <c r="AC244" s="308">
        <v>0</v>
      </c>
      <c r="AD244" s="109" t="s">
        <v>1988</v>
      </c>
      <c r="AE244" s="30" t="s">
        <v>1904</v>
      </c>
    </row>
    <row r="245" spans="1:31" s="305" customFormat="1">
      <c r="A245" s="323" t="s">
        <v>600</v>
      </c>
      <c r="B245" s="217" t="s">
        <v>1989</v>
      </c>
      <c r="C245" s="45" t="s">
        <v>1990</v>
      </c>
      <c r="D245" s="44" t="s">
        <v>1901</v>
      </c>
      <c r="E245" s="30" t="s">
        <v>1902</v>
      </c>
      <c r="F245" s="71">
        <v>920</v>
      </c>
      <c r="G245" s="47" t="s">
        <v>268</v>
      </c>
      <c r="H245" s="33">
        <v>7090</v>
      </c>
      <c r="I245" s="85">
        <v>4280</v>
      </c>
      <c r="J245" s="34">
        <v>2810</v>
      </c>
      <c r="K245" s="86">
        <v>26.5</v>
      </c>
      <c r="L245" s="307">
        <v>26.3</v>
      </c>
      <c r="M245" s="39">
        <v>14.5</v>
      </c>
      <c r="N245" s="39">
        <v>11.8</v>
      </c>
      <c r="O245" s="36">
        <v>0.22</v>
      </c>
      <c r="P245" s="86">
        <v>0.54800000000000004</v>
      </c>
      <c r="Q245" s="307">
        <v>0.53700000000000003</v>
      </c>
      <c r="R245" s="36">
        <v>0.53700000000000003</v>
      </c>
      <c r="S245" s="36">
        <v>0</v>
      </c>
      <c r="T245" s="36">
        <v>1.11E-2</v>
      </c>
      <c r="U245" s="86">
        <v>26</v>
      </c>
      <c r="V245" s="307">
        <v>25.7</v>
      </c>
      <c r="W245" s="36">
        <v>13.9</v>
      </c>
      <c r="X245" s="36">
        <v>11.8</v>
      </c>
      <c r="Y245" s="36">
        <v>0.20899999999999999</v>
      </c>
      <c r="Z245" s="72">
        <v>5.63</v>
      </c>
      <c r="AA245" s="77">
        <v>2.96</v>
      </c>
      <c r="AB245" s="73">
        <v>2.67</v>
      </c>
      <c r="AC245" s="308">
        <v>0</v>
      </c>
      <c r="AD245" s="109" t="s">
        <v>1991</v>
      </c>
      <c r="AE245" s="30" t="s">
        <v>1904</v>
      </c>
    </row>
    <row r="246" spans="1:31" s="305" customFormat="1" ht="14.25">
      <c r="A246" s="298" t="s">
        <v>1992</v>
      </c>
      <c r="B246" s="691"/>
      <c r="C246" s="41" t="s">
        <v>1993</v>
      </c>
      <c r="D246" s="40"/>
      <c r="E246" s="41"/>
      <c r="F246" s="42" t="s">
        <v>1173</v>
      </c>
      <c r="G246" s="43"/>
      <c r="H246" s="327"/>
      <c r="I246" s="299"/>
      <c r="J246" s="327"/>
      <c r="K246" s="328"/>
      <c r="L246" s="355"/>
      <c r="M246" s="312"/>
      <c r="N246" s="312"/>
      <c r="O246" s="355"/>
      <c r="P246" s="355"/>
      <c r="Q246" s="355"/>
      <c r="R246" s="312"/>
      <c r="S246" s="312"/>
      <c r="T246" s="355"/>
      <c r="U246" s="356"/>
      <c r="V246" s="355"/>
      <c r="W246" s="312"/>
      <c r="X246" s="312"/>
      <c r="Y246" s="380"/>
      <c r="Z246" s="384"/>
      <c r="AA246" s="301"/>
      <c r="AB246" s="372"/>
      <c r="AC246" s="372"/>
      <c r="AD246" s="304" t="s">
        <v>1994</v>
      </c>
      <c r="AE246" s="41"/>
    </row>
    <row r="247" spans="1:31" s="305" customFormat="1">
      <c r="A247" s="1339" t="s">
        <v>1995</v>
      </c>
      <c r="B247" s="217" t="s">
        <v>1996</v>
      </c>
      <c r="C247" s="45" t="s">
        <v>1997</v>
      </c>
      <c r="D247" s="44" t="s">
        <v>1998</v>
      </c>
      <c r="E247" s="30" t="s">
        <v>1999</v>
      </c>
      <c r="F247" s="71">
        <v>150</v>
      </c>
      <c r="G247" s="47" t="s">
        <v>268</v>
      </c>
      <c r="H247" s="54">
        <v>73600</v>
      </c>
      <c r="I247" s="74">
        <v>73200</v>
      </c>
      <c r="J247" s="49">
        <v>408</v>
      </c>
      <c r="K247" s="86">
        <v>242</v>
      </c>
      <c r="L247" s="307">
        <v>242</v>
      </c>
      <c r="M247" s="39">
        <v>242</v>
      </c>
      <c r="N247" s="39">
        <v>0</v>
      </c>
      <c r="O247" s="36">
        <v>0.186</v>
      </c>
      <c r="P247" s="86">
        <v>12.6</v>
      </c>
      <c r="Q247" s="307">
        <v>12.5</v>
      </c>
      <c r="R247" s="36">
        <v>12.5</v>
      </c>
      <c r="S247" s="36">
        <v>0</v>
      </c>
      <c r="T247" s="36">
        <v>1.2E-2</v>
      </c>
      <c r="U247" s="72">
        <v>230</v>
      </c>
      <c r="V247" s="307">
        <v>229</v>
      </c>
      <c r="W247" s="36">
        <v>229</v>
      </c>
      <c r="X247" s="36">
        <v>0</v>
      </c>
      <c r="Y247" s="36">
        <v>0.17399999999999999</v>
      </c>
      <c r="Z247" s="50">
        <v>48.7</v>
      </c>
      <c r="AA247" s="78">
        <v>48.4</v>
      </c>
      <c r="AB247" s="52">
        <v>0.28899999999999998</v>
      </c>
      <c r="AC247" s="308">
        <v>0</v>
      </c>
      <c r="AD247" s="109" t="s">
        <v>2000</v>
      </c>
      <c r="AE247" s="30" t="s">
        <v>2001</v>
      </c>
    </row>
    <row r="248" spans="1:31" s="305" customFormat="1">
      <c r="A248" s="323" t="s">
        <v>631</v>
      </c>
      <c r="B248" s="217" t="s">
        <v>2002</v>
      </c>
      <c r="C248" s="45" t="s">
        <v>2003</v>
      </c>
      <c r="D248" s="88" t="s">
        <v>1216</v>
      </c>
      <c r="E248" s="30" t="s">
        <v>1217</v>
      </c>
      <c r="F248" s="47" t="s">
        <v>2004</v>
      </c>
      <c r="G248" s="47" t="s">
        <v>268</v>
      </c>
      <c r="H248" s="54">
        <v>1460</v>
      </c>
      <c r="I248" s="74">
        <v>1410</v>
      </c>
      <c r="J248" s="49">
        <v>42.5</v>
      </c>
      <c r="K248" s="86">
        <v>4.62</v>
      </c>
      <c r="L248" s="307">
        <v>4.57</v>
      </c>
      <c r="M248" s="39">
        <v>4.57</v>
      </c>
      <c r="N248" s="39">
        <v>0</v>
      </c>
      <c r="O248" s="36">
        <v>5.4800000000000001E-2</v>
      </c>
      <c r="P248" s="86">
        <v>0.16700000000000001</v>
      </c>
      <c r="Q248" s="307">
        <v>0.16400000000000001</v>
      </c>
      <c r="R248" s="36">
        <v>0.16400000000000001</v>
      </c>
      <c r="S248" s="36">
        <v>0</v>
      </c>
      <c r="T248" s="36">
        <v>2.2100000000000002E-3</v>
      </c>
      <c r="U248" s="86">
        <v>4.46</v>
      </c>
      <c r="V248" s="307">
        <v>4.4000000000000004</v>
      </c>
      <c r="W248" s="36">
        <v>4.4000000000000004</v>
      </c>
      <c r="X248" s="36">
        <v>0</v>
      </c>
      <c r="Y248" s="36">
        <v>5.2600000000000001E-2</v>
      </c>
      <c r="Z248" s="50">
        <v>1.05</v>
      </c>
      <c r="AA248" s="78">
        <v>1.04</v>
      </c>
      <c r="AB248" s="52">
        <v>1.2699999999999999E-2</v>
      </c>
      <c r="AC248" s="308">
        <v>0</v>
      </c>
      <c r="AD248" s="109" t="s">
        <v>2005</v>
      </c>
      <c r="AE248" s="30" t="s">
        <v>2006</v>
      </c>
    </row>
    <row r="249" spans="1:31" s="305" customFormat="1">
      <c r="A249" s="323" t="s">
        <v>2007</v>
      </c>
      <c r="B249" s="217" t="s">
        <v>2008</v>
      </c>
      <c r="C249" s="45" t="s">
        <v>2009</v>
      </c>
      <c r="D249" s="88" t="s">
        <v>1216</v>
      </c>
      <c r="E249" s="30" t="s">
        <v>1217</v>
      </c>
      <c r="F249" s="47" t="s">
        <v>2004</v>
      </c>
      <c r="G249" s="47" t="s">
        <v>268</v>
      </c>
      <c r="H249" s="54">
        <v>687</v>
      </c>
      <c r="I249" s="74">
        <v>645</v>
      </c>
      <c r="J249" s="49">
        <v>42.5</v>
      </c>
      <c r="K249" s="86">
        <v>1.61</v>
      </c>
      <c r="L249" s="307">
        <v>1.56</v>
      </c>
      <c r="M249" s="39">
        <v>1.56</v>
      </c>
      <c r="N249" s="39">
        <v>0</v>
      </c>
      <c r="O249" s="36">
        <v>5.4800000000000001E-2</v>
      </c>
      <c r="P249" s="86">
        <v>5.0799999999999998E-2</v>
      </c>
      <c r="Q249" s="307">
        <v>4.8599999999999997E-2</v>
      </c>
      <c r="R249" s="36">
        <v>4.8599999999999997E-2</v>
      </c>
      <c r="S249" s="36">
        <v>0</v>
      </c>
      <c r="T249" s="36">
        <v>2.2100000000000002E-3</v>
      </c>
      <c r="U249" s="72">
        <v>1.56</v>
      </c>
      <c r="V249" s="307">
        <v>1.51</v>
      </c>
      <c r="W249" s="36">
        <v>1.51</v>
      </c>
      <c r="X249" s="36">
        <v>0</v>
      </c>
      <c r="Y249" s="36">
        <v>5.2600000000000001E-2</v>
      </c>
      <c r="Z249" s="50">
        <v>0.39400000000000002</v>
      </c>
      <c r="AA249" s="78">
        <v>0.38200000000000001</v>
      </c>
      <c r="AB249" s="52">
        <v>1.2699999999999999E-2</v>
      </c>
      <c r="AC249" s="308">
        <v>0</v>
      </c>
      <c r="AD249" s="109" t="s">
        <v>2010</v>
      </c>
      <c r="AE249" s="30" t="s">
        <v>2006</v>
      </c>
    </row>
    <row r="250" spans="1:31" s="305" customFormat="1">
      <c r="A250" s="1339" t="s">
        <v>2011</v>
      </c>
      <c r="B250" s="217" t="s">
        <v>2012</v>
      </c>
      <c r="C250" s="45" t="s">
        <v>2013</v>
      </c>
      <c r="D250" s="44" t="s">
        <v>2014</v>
      </c>
      <c r="E250" s="30" t="s">
        <v>2015</v>
      </c>
      <c r="F250" s="47">
        <v>30</v>
      </c>
      <c r="G250" s="47" t="s">
        <v>268</v>
      </c>
      <c r="H250" s="33">
        <v>2940</v>
      </c>
      <c r="I250" s="85">
        <v>2570</v>
      </c>
      <c r="J250" s="49">
        <v>370</v>
      </c>
      <c r="K250" s="86">
        <v>11.3</v>
      </c>
      <c r="L250" s="307">
        <v>11.1</v>
      </c>
      <c r="M250" s="39">
        <v>6.12</v>
      </c>
      <c r="N250" s="36">
        <v>5</v>
      </c>
      <c r="O250" s="36">
        <v>0.16700000000000001</v>
      </c>
      <c r="P250" s="86">
        <v>5.97</v>
      </c>
      <c r="Q250" s="307">
        <v>5.96</v>
      </c>
      <c r="R250" s="36">
        <v>0.95599999999999996</v>
      </c>
      <c r="S250" s="36">
        <v>5</v>
      </c>
      <c r="T250" s="36">
        <v>1.26E-2</v>
      </c>
      <c r="U250" s="86">
        <v>5.32</v>
      </c>
      <c r="V250" s="307">
        <v>5.17</v>
      </c>
      <c r="W250" s="36">
        <v>5.17</v>
      </c>
      <c r="X250" s="36">
        <v>0</v>
      </c>
      <c r="Y250" s="36">
        <v>0.154</v>
      </c>
      <c r="Z250" s="72">
        <v>1.01</v>
      </c>
      <c r="AA250" s="77">
        <v>0.77700000000000002</v>
      </c>
      <c r="AB250" s="52">
        <v>0.23499999999999999</v>
      </c>
      <c r="AC250" s="308">
        <v>0.44</v>
      </c>
      <c r="AD250" s="332" t="s">
        <v>2016</v>
      </c>
      <c r="AE250" s="30" t="s">
        <v>2017</v>
      </c>
    </row>
    <row r="251" spans="1:31" s="305" customFormat="1" ht="12.75" customHeight="1" outlineLevel="1">
      <c r="A251" s="318" t="s">
        <v>2018</v>
      </c>
      <c r="B251" s="60" t="s">
        <v>2019</v>
      </c>
      <c r="C251" s="94" t="s">
        <v>2020</v>
      </c>
      <c r="D251" s="95" t="s">
        <v>2014</v>
      </c>
      <c r="E251" s="60" t="s">
        <v>2015</v>
      </c>
      <c r="F251" s="97">
        <v>30</v>
      </c>
      <c r="G251" s="97" t="s">
        <v>268</v>
      </c>
      <c r="H251" s="64">
        <v>2880</v>
      </c>
      <c r="I251" s="99">
        <v>2510</v>
      </c>
      <c r="J251" s="105">
        <v>370</v>
      </c>
      <c r="K251" s="66">
        <v>11.1</v>
      </c>
      <c r="L251" s="319">
        <v>10.9</v>
      </c>
      <c r="M251" s="107">
        <v>5.92</v>
      </c>
      <c r="N251" s="107">
        <v>5</v>
      </c>
      <c r="O251" s="107">
        <v>0.16700000000000001</v>
      </c>
      <c r="P251" s="66">
        <v>5.91</v>
      </c>
      <c r="Q251" s="319">
        <v>5.89</v>
      </c>
      <c r="R251" s="107">
        <v>0.89300000000000002</v>
      </c>
      <c r="S251" s="107">
        <v>5</v>
      </c>
      <c r="T251" s="107">
        <v>1.26E-2</v>
      </c>
      <c r="U251" s="66">
        <v>5.18</v>
      </c>
      <c r="V251" s="319">
        <v>5.03</v>
      </c>
      <c r="W251" s="107">
        <v>5.03</v>
      </c>
      <c r="X251" s="107">
        <v>0</v>
      </c>
      <c r="Y251" s="107">
        <v>0.154</v>
      </c>
      <c r="Z251" s="69">
        <v>0.98299999999999998</v>
      </c>
      <c r="AA251" s="104">
        <v>0.749</v>
      </c>
      <c r="AB251" s="106">
        <v>0.23499999999999999</v>
      </c>
      <c r="AC251" s="350">
        <v>0.44</v>
      </c>
      <c r="AD251" s="351" t="s">
        <v>2021</v>
      </c>
      <c r="AE251" s="60" t="s">
        <v>2017</v>
      </c>
    </row>
    <row r="252" spans="1:31" s="305" customFormat="1">
      <c r="A252" s="1339" t="s">
        <v>2022</v>
      </c>
      <c r="B252" s="217" t="s">
        <v>2023</v>
      </c>
      <c r="C252" s="45" t="s">
        <v>2024</v>
      </c>
      <c r="D252" s="44" t="s">
        <v>2014</v>
      </c>
      <c r="E252" s="30" t="s">
        <v>2015</v>
      </c>
      <c r="F252" s="47">
        <v>30</v>
      </c>
      <c r="G252" s="47" t="s">
        <v>268</v>
      </c>
      <c r="H252" s="33">
        <v>3530</v>
      </c>
      <c r="I252" s="85">
        <v>3160</v>
      </c>
      <c r="J252" s="49">
        <v>370</v>
      </c>
      <c r="K252" s="86">
        <v>13</v>
      </c>
      <c r="L252" s="307">
        <v>12.8</v>
      </c>
      <c r="M252" s="39">
        <v>7.82</v>
      </c>
      <c r="N252" s="36">
        <v>5</v>
      </c>
      <c r="O252" s="36">
        <v>0.16700000000000001</v>
      </c>
      <c r="P252" s="86">
        <v>5.47</v>
      </c>
      <c r="Q252" s="307">
        <v>5.46</v>
      </c>
      <c r="R252" s="36">
        <v>0.45600000000000002</v>
      </c>
      <c r="S252" s="36">
        <v>5</v>
      </c>
      <c r="T252" s="36">
        <v>1.26E-2</v>
      </c>
      <c r="U252" s="86">
        <v>7.51</v>
      </c>
      <c r="V252" s="307">
        <v>7.36</v>
      </c>
      <c r="W252" s="36">
        <v>7.36</v>
      </c>
      <c r="X252" s="36">
        <v>0</v>
      </c>
      <c r="Y252" s="36">
        <v>0.154</v>
      </c>
      <c r="Z252" s="72">
        <v>1.45</v>
      </c>
      <c r="AA252" s="77">
        <v>1.22</v>
      </c>
      <c r="AB252" s="52">
        <v>0.23499999999999999</v>
      </c>
      <c r="AC252" s="341">
        <v>0.44</v>
      </c>
      <c r="AD252" s="332" t="s">
        <v>2025</v>
      </c>
      <c r="AE252" s="30" t="s">
        <v>2017</v>
      </c>
    </row>
    <row r="253" spans="1:31" s="305" customFormat="1" ht="12.75" customHeight="1" outlineLevel="1">
      <c r="A253" s="318" t="s">
        <v>2026</v>
      </c>
      <c r="B253" s="60" t="s">
        <v>2027</v>
      </c>
      <c r="C253" s="94" t="s">
        <v>2028</v>
      </c>
      <c r="D253" s="95" t="s">
        <v>2014</v>
      </c>
      <c r="E253" s="60" t="s">
        <v>2015</v>
      </c>
      <c r="F253" s="97">
        <v>30</v>
      </c>
      <c r="G253" s="97" t="s">
        <v>268</v>
      </c>
      <c r="H253" s="64">
        <v>3460</v>
      </c>
      <c r="I253" s="99">
        <v>3090</v>
      </c>
      <c r="J253" s="105">
        <v>370</v>
      </c>
      <c r="K253" s="66">
        <v>12.8</v>
      </c>
      <c r="L253" s="319">
        <v>12.6</v>
      </c>
      <c r="M253" s="107">
        <v>7.6</v>
      </c>
      <c r="N253" s="107">
        <v>5</v>
      </c>
      <c r="O253" s="107">
        <v>0.16700000000000001</v>
      </c>
      <c r="P253" s="66">
        <v>5.41</v>
      </c>
      <c r="Q253" s="319">
        <v>5.4</v>
      </c>
      <c r="R253" s="107">
        <v>0.39700000000000002</v>
      </c>
      <c r="S253" s="107">
        <v>5</v>
      </c>
      <c r="T253" s="107">
        <v>1.26E-2</v>
      </c>
      <c r="U253" s="66">
        <v>7.35</v>
      </c>
      <c r="V253" s="319">
        <v>7.2</v>
      </c>
      <c r="W253" s="107">
        <v>7.2</v>
      </c>
      <c r="X253" s="107">
        <v>0</v>
      </c>
      <c r="Y253" s="107">
        <v>0.154</v>
      </c>
      <c r="Z253" s="69">
        <v>1.42</v>
      </c>
      <c r="AA253" s="104">
        <v>1.18</v>
      </c>
      <c r="AB253" s="106">
        <v>0.23499999999999999</v>
      </c>
      <c r="AC253" s="350">
        <v>0.44</v>
      </c>
      <c r="AD253" s="351" t="s">
        <v>2029</v>
      </c>
      <c r="AE253" s="60" t="s">
        <v>2017</v>
      </c>
    </row>
    <row r="254" spans="1:31" s="401" customFormat="1">
      <c r="A254" s="385" t="s">
        <v>704</v>
      </c>
      <c r="B254" s="693" t="s">
        <v>2030</v>
      </c>
      <c r="C254" s="386" t="s">
        <v>2031</v>
      </c>
      <c r="D254" s="387" t="s">
        <v>2032</v>
      </c>
      <c r="E254" s="388" t="s">
        <v>2033</v>
      </c>
      <c r="F254" s="389" t="s">
        <v>2034</v>
      </c>
      <c r="G254" s="389" t="s">
        <v>268</v>
      </c>
      <c r="H254" s="390">
        <v>1960</v>
      </c>
      <c r="I254" s="391">
        <v>1850</v>
      </c>
      <c r="J254" s="392">
        <v>116</v>
      </c>
      <c r="K254" s="393">
        <v>7.82</v>
      </c>
      <c r="L254" s="394">
        <v>7.67</v>
      </c>
      <c r="M254" s="395">
        <v>7.67</v>
      </c>
      <c r="N254" s="395">
        <v>0</v>
      </c>
      <c r="O254" s="395">
        <v>0.14299999999999999</v>
      </c>
      <c r="P254" s="393">
        <v>2.35</v>
      </c>
      <c r="Q254" s="394">
        <v>2.34</v>
      </c>
      <c r="R254" s="395">
        <v>2.34</v>
      </c>
      <c r="S254" s="395">
        <v>0</v>
      </c>
      <c r="T254" s="395">
        <v>1.0699999999999999E-2</v>
      </c>
      <c r="U254" s="393">
        <v>5.46</v>
      </c>
      <c r="V254" s="394">
        <v>5.33</v>
      </c>
      <c r="W254" s="395">
        <v>5.33</v>
      </c>
      <c r="X254" s="395">
        <v>0</v>
      </c>
      <c r="Y254" s="395">
        <v>0.13300000000000001</v>
      </c>
      <c r="Z254" s="396">
        <v>1.1000000000000001</v>
      </c>
      <c r="AA254" s="397">
        <v>1.04</v>
      </c>
      <c r="AB254" s="398">
        <v>5.9200000000000003E-2</v>
      </c>
      <c r="AC254" s="399">
        <v>0</v>
      </c>
      <c r="AD254" s="400" t="s">
        <v>702</v>
      </c>
      <c r="AE254" s="388" t="s">
        <v>2035</v>
      </c>
    </row>
    <row r="255" spans="1:31" s="305" customFormat="1" ht="12.75" customHeight="1" outlineLevel="1">
      <c r="A255" s="402" t="s">
        <v>2036</v>
      </c>
      <c r="B255" s="60" t="s">
        <v>2037</v>
      </c>
      <c r="C255" s="60" t="s">
        <v>2038</v>
      </c>
      <c r="D255" s="61" t="s">
        <v>2032</v>
      </c>
      <c r="E255" s="60" t="s">
        <v>2033</v>
      </c>
      <c r="F255" s="97" t="s">
        <v>2034</v>
      </c>
      <c r="G255" s="97" t="s">
        <v>268</v>
      </c>
      <c r="H255" s="64">
        <v>1830</v>
      </c>
      <c r="I255" s="65">
        <v>1710</v>
      </c>
      <c r="J255" s="105">
        <v>116</v>
      </c>
      <c r="K255" s="66">
        <v>7.4</v>
      </c>
      <c r="L255" s="107">
        <v>7.26</v>
      </c>
      <c r="M255" s="107">
        <v>7.26</v>
      </c>
      <c r="N255" s="107">
        <v>0</v>
      </c>
      <c r="O255" s="107">
        <v>0.14299999999999999</v>
      </c>
      <c r="P255" s="66">
        <v>2.2799999999999998</v>
      </c>
      <c r="Q255" s="107">
        <v>2.27</v>
      </c>
      <c r="R255" s="107">
        <v>2.27</v>
      </c>
      <c r="S255" s="107">
        <v>0</v>
      </c>
      <c r="T255" s="107">
        <v>1.0699999999999999E-2</v>
      </c>
      <c r="U255" s="66">
        <v>5.13</v>
      </c>
      <c r="V255" s="107">
        <v>4.99</v>
      </c>
      <c r="W255" s="107">
        <v>4.99</v>
      </c>
      <c r="X255" s="107">
        <v>0</v>
      </c>
      <c r="Y255" s="107">
        <v>0.13300000000000001</v>
      </c>
      <c r="Z255" s="69">
        <v>1.03</v>
      </c>
      <c r="AA255" s="70">
        <v>0.97</v>
      </c>
      <c r="AB255" s="106">
        <v>5.9200000000000003E-2</v>
      </c>
      <c r="AC255" s="350">
        <v>0</v>
      </c>
      <c r="AD255" s="351" t="s">
        <v>2039</v>
      </c>
      <c r="AE255" s="60" t="s">
        <v>2035</v>
      </c>
    </row>
    <row r="256" spans="1:31" s="325" customFormat="1" ht="12.75" customHeight="1" outlineLevel="1">
      <c r="A256" s="365" t="s">
        <v>2040</v>
      </c>
      <c r="B256" s="60" t="s">
        <v>2041</v>
      </c>
      <c r="C256" s="60" t="s">
        <v>2042</v>
      </c>
      <c r="D256" s="61" t="s">
        <v>2032</v>
      </c>
      <c r="E256" s="60" t="s">
        <v>2033</v>
      </c>
      <c r="F256" s="63" t="s">
        <v>2034</v>
      </c>
      <c r="G256" s="63" t="s">
        <v>268</v>
      </c>
      <c r="H256" s="64">
        <v>1700</v>
      </c>
      <c r="I256" s="65">
        <v>1580</v>
      </c>
      <c r="J256" s="105">
        <v>116</v>
      </c>
      <c r="K256" s="66">
        <v>6.11</v>
      </c>
      <c r="L256" s="107">
        <v>5.97</v>
      </c>
      <c r="M256" s="107">
        <v>5.97</v>
      </c>
      <c r="N256" s="107">
        <v>0</v>
      </c>
      <c r="O256" s="107">
        <v>0.14299999999999999</v>
      </c>
      <c r="P256" s="66">
        <v>2.4500000000000002</v>
      </c>
      <c r="Q256" s="107">
        <v>2.44</v>
      </c>
      <c r="R256" s="107">
        <v>2.44</v>
      </c>
      <c r="S256" s="107">
        <v>0</v>
      </c>
      <c r="T256" s="107">
        <v>1.0699999999999999E-2</v>
      </c>
      <c r="U256" s="66">
        <v>3.66</v>
      </c>
      <c r="V256" s="107">
        <v>3.53</v>
      </c>
      <c r="W256" s="107">
        <v>3.53</v>
      </c>
      <c r="X256" s="107">
        <v>0</v>
      </c>
      <c r="Y256" s="107">
        <v>0.13300000000000001</v>
      </c>
      <c r="Z256" s="69">
        <v>0.89</v>
      </c>
      <c r="AA256" s="70">
        <v>0.83099999999999996</v>
      </c>
      <c r="AB256" s="106">
        <v>5.9200000000000003E-2</v>
      </c>
      <c r="AC256" s="350">
        <v>0</v>
      </c>
      <c r="AD256" s="351" t="s">
        <v>2043</v>
      </c>
      <c r="AE256" s="60" t="s">
        <v>2035</v>
      </c>
    </row>
    <row r="257" spans="1:31" s="325" customFormat="1" ht="12.75" customHeight="1" outlineLevel="1">
      <c r="A257" s="365" t="s">
        <v>2044</v>
      </c>
      <c r="B257" s="60" t="s">
        <v>2045</v>
      </c>
      <c r="C257" s="60" t="s">
        <v>2046</v>
      </c>
      <c r="D257" s="61" t="s">
        <v>2032</v>
      </c>
      <c r="E257" s="60" t="s">
        <v>2033</v>
      </c>
      <c r="F257" s="63">
        <v>35</v>
      </c>
      <c r="G257" s="63" t="s">
        <v>268</v>
      </c>
      <c r="H257" s="64">
        <v>2060</v>
      </c>
      <c r="I257" s="65">
        <v>1940</v>
      </c>
      <c r="J257" s="105">
        <v>116</v>
      </c>
      <c r="K257" s="66">
        <v>6.21</v>
      </c>
      <c r="L257" s="107">
        <v>6.07</v>
      </c>
      <c r="M257" s="107">
        <v>6.07</v>
      </c>
      <c r="N257" s="107">
        <v>0</v>
      </c>
      <c r="O257" s="107">
        <v>0.14299999999999999</v>
      </c>
      <c r="P257" s="66">
        <v>0.317</v>
      </c>
      <c r="Q257" s="107">
        <v>0.30599999999999999</v>
      </c>
      <c r="R257" s="107">
        <v>0.30599999999999999</v>
      </c>
      <c r="S257" s="107">
        <v>0</v>
      </c>
      <c r="T257" s="107">
        <v>1.0699999999999999E-2</v>
      </c>
      <c r="U257" s="66">
        <v>5.89</v>
      </c>
      <c r="V257" s="107">
        <v>5.76</v>
      </c>
      <c r="W257" s="107">
        <v>5.76</v>
      </c>
      <c r="X257" s="107">
        <v>0</v>
      </c>
      <c r="Y257" s="107">
        <v>0.13300000000000001</v>
      </c>
      <c r="Z257" s="69">
        <v>1.1399999999999999</v>
      </c>
      <c r="AA257" s="70">
        <v>1.08</v>
      </c>
      <c r="AB257" s="106">
        <v>5.9200000000000003E-2</v>
      </c>
      <c r="AC257" s="350">
        <v>0</v>
      </c>
      <c r="AD257" s="351" t="s">
        <v>2047</v>
      </c>
      <c r="AE257" s="60" t="s">
        <v>2035</v>
      </c>
    </row>
    <row r="258" spans="1:31" s="305" customFormat="1">
      <c r="A258" s="323" t="s">
        <v>2048</v>
      </c>
      <c r="B258" s="217" t="s">
        <v>2049</v>
      </c>
      <c r="C258" s="45" t="s">
        <v>2050</v>
      </c>
      <c r="D258" s="88" t="s">
        <v>2051</v>
      </c>
      <c r="E258" s="30" t="s">
        <v>2052</v>
      </c>
      <c r="F258" s="47">
        <v>120</v>
      </c>
      <c r="G258" s="47" t="s">
        <v>268</v>
      </c>
      <c r="H258" s="33">
        <v>2170</v>
      </c>
      <c r="I258" s="85">
        <v>1990</v>
      </c>
      <c r="J258" s="34">
        <v>172</v>
      </c>
      <c r="K258" s="86">
        <v>14.2</v>
      </c>
      <c r="L258" s="307">
        <v>14</v>
      </c>
      <c r="M258" s="39">
        <v>8.8699999999999992</v>
      </c>
      <c r="N258" s="39">
        <v>5.15</v>
      </c>
      <c r="O258" s="36">
        <v>0.161</v>
      </c>
      <c r="P258" s="86">
        <v>7.95</v>
      </c>
      <c r="Q258" s="307">
        <v>7.94</v>
      </c>
      <c r="R258" s="36">
        <v>3.79</v>
      </c>
      <c r="S258" s="36">
        <v>4.1500000000000004</v>
      </c>
      <c r="T258" s="36">
        <v>1.2500000000000001E-2</v>
      </c>
      <c r="U258" s="86">
        <v>6.24</v>
      </c>
      <c r="V258" s="307">
        <v>6.09</v>
      </c>
      <c r="W258" s="36">
        <v>5.09</v>
      </c>
      <c r="X258" s="36">
        <v>1</v>
      </c>
      <c r="Y258" s="36">
        <v>0.14799999999999999</v>
      </c>
      <c r="Z258" s="72">
        <v>1.1100000000000001</v>
      </c>
      <c r="AA258" s="77">
        <v>1.07</v>
      </c>
      <c r="AB258" s="31">
        <v>3.8699999999999998E-2</v>
      </c>
      <c r="AC258" s="340">
        <v>0.496</v>
      </c>
      <c r="AD258" s="109" t="s">
        <v>2053</v>
      </c>
      <c r="AE258" s="30" t="s">
        <v>2054</v>
      </c>
    </row>
    <row r="259" spans="1:31" s="305" customFormat="1">
      <c r="A259" s="323" t="s">
        <v>2055</v>
      </c>
      <c r="B259" s="217" t="s">
        <v>2056</v>
      </c>
      <c r="C259" s="45" t="s">
        <v>2057</v>
      </c>
      <c r="D259" s="88" t="s">
        <v>2058</v>
      </c>
      <c r="E259" s="30" t="s">
        <v>2059</v>
      </c>
      <c r="F259" s="47">
        <v>40</v>
      </c>
      <c r="G259" s="47" t="s">
        <v>268</v>
      </c>
      <c r="H259" s="33">
        <v>10000</v>
      </c>
      <c r="I259" s="85">
        <v>6730</v>
      </c>
      <c r="J259" s="34">
        <v>3280</v>
      </c>
      <c r="K259" s="38">
        <v>34.200000000000003</v>
      </c>
      <c r="L259" s="307">
        <v>33.9</v>
      </c>
      <c r="M259" s="39">
        <v>26.9</v>
      </c>
      <c r="N259" s="39">
        <v>7</v>
      </c>
      <c r="O259" s="36">
        <v>0.21299999999999999</v>
      </c>
      <c r="P259" s="38">
        <v>0.61799999999999999</v>
      </c>
      <c r="Q259" s="307">
        <v>0.60599999999999998</v>
      </c>
      <c r="R259" s="36">
        <v>0.60599999999999998</v>
      </c>
      <c r="S259" s="36">
        <v>0</v>
      </c>
      <c r="T259" s="36">
        <v>1.17E-2</v>
      </c>
      <c r="U259" s="38">
        <v>33.5</v>
      </c>
      <c r="V259" s="307">
        <v>33.299999999999997</v>
      </c>
      <c r="W259" s="36">
        <v>26.3</v>
      </c>
      <c r="X259" s="36">
        <v>7</v>
      </c>
      <c r="Y259" s="36">
        <v>0.20200000000000001</v>
      </c>
      <c r="Z259" s="72">
        <v>7.26</v>
      </c>
      <c r="AA259" s="77">
        <v>4.17</v>
      </c>
      <c r="AB259" s="73">
        <v>3.09</v>
      </c>
      <c r="AC259" s="403">
        <v>0</v>
      </c>
      <c r="AD259" s="109" t="s">
        <v>2060</v>
      </c>
      <c r="AE259" s="30" t="s">
        <v>2061</v>
      </c>
    </row>
    <row r="260" spans="1:31" s="305" customFormat="1">
      <c r="A260" s="323" t="s">
        <v>696</v>
      </c>
      <c r="B260" s="217" t="s">
        <v>2062</v>
      </c>
      <c r="C260" s="45" t="s">
        <v>2063</v>
      </c>
      <c r="D260" s="88" t="s">
        <v>2058</v>
      </c>
      <c r="E260" s="30" t="s">
        <v>2059</v>
      </c>
      <c r="F260" s="47" t="s">
        <v>2064</v>
      </c>
      <c r="G260" s="47" t="s">
        <v>268</v>
      </c>
      <c r="H260" s="33">
        <v>9800</v>
      </c>
      <c r="I260" s="85">
        <v>6520</v>
      </c>
      <c r="J260" s="34">
        <v>3280</v>
      </c>
      <c r="K260" s="38">
        <v>30.5</v>
      </c>
      <c r="L260" s="307">
        <v>30.3</v>
      </c>
      <c r="M260" s="39">
        <v>21.1</v>
      </c>
      <c r="N260" s="39">
        <v>9.2200000000000006</v>
      </c>
      <c r="O260" s="36">
        <v>0.21299999999999999</v>
      </c>
      <c r="P260" s="38">
        <v>0.52400000000000002</v>
      </c>
      <c r="Q260" s="307">
        <v>0.51200000000000001</v>
      </c>
      <c r="R260" s="36">
        <v>0.51200000000000001</v>
      </c>
      <c r="S260" s="36">
        <v>0</v>
      </c>
      <c r="T260" s="36">
        <v>1.17E-2</v>
      </c>
      <c r="U260" s="38">
        <v>30</v>
      </c>
      <c r="V260" s="307">
        <v>29.8</v>
      </c>
      <c r="W260" s="36">
        <v>20.6</v>
      </c>
      <c r="X260" s="36">
        <v>9.2200000000000006</v>
      </c>
      <c r="Y260" s="36">
        <v>0.20200000000000001</v>
      </c>
      <c r="Z260" s="72">
        <v>7.6</v>
      </c>
      <c r="AA260" s="77">
        <v>4.51</v>
      </c>
      <c r="AB260" s="73">
        <v>3.09</v>
      </c>
      <c r="AC260" s="403">
        <v>0</v>
      </c>
      <c r="AD260" s="109" t="s">
        <v>2065</v>
      </c>
      <c r="AE260" s="30" t="s">
        <v>2061</v>
      </c>
    </row>
    <row r="261" spans="1:31" s="325" customFormat="1" ht="12.75" customHeight="1" outlineLevel="1">
      <c r="A261" s="365" t="s">
        <v>2066</v>
      </c>
      <c r="B261" s="60" t="s">
        <v>2067</v>
      </c>
      <c r="C261" s="60" t="s">
        <v>2068</v>
      </c>
      <c r="D261" s="61" t="s">
        <v>2058</v>
      </c>
      <c r="E261" s="60" t="s">
        <v>2059</v>
      </c>
      <c r="F261" s="63">
        <v>16.8</v>
      </c>
      <c r="G261" s="63" t="s">
        <v>268</v>
      </c>
      <c r="H261" s="64">
        <v>8790</v>
      </c>
      <c r="I261" s="65">
        <v>5510</v>
      </c>
      <c r="J261" s="105">
        <v>3280</v>
      </c>
      <c r="K261" s="66">
        <v>27.4</v>
      </c>
      <c r="L261" s="107">
        <v>27.2</v>
      </c>
      <c r="M261" s="107">
        <v>18</v>
      </c>
      <c r="N261" s="107">
        <v>9.18</v>
      </c>
      <c r="O261" s="107">
        <v>0.21299999999999999</v>
      </c>
      <c r="P261" s="66">
        <v>0.72899999999999998</v>
      </c>
      <c r="Q261" s="107">
        <v>0.71799999999999997</v>
      </c>
      <c r="R261" s="107">
        <v>0.69399999999999995</v>
      </c>
      <c r="S261" s="107">
        <v>2.4E-2</v>
      </c>
      <c r="T261" s="107">
        <v>1.17E-2</v>
      </c>
      <c r="U261" s="66">
        <v>26.7</v>
      </c>
      <c r="V261" s="107">
        <v>26.5</v>
      </c>
      <c r="W261" s="107">
        <v>17.3</v>
      </c>
      <c r="X261" s="107">
        <v>9.15</v>
      </c>
      <c r="Y261" s="107">
        <v>0.20200000000000001</v>
      </c>
      <c r="Z261" s="69">
        <v>6.95</v>
      </c>
      <c r="AA261" s="70">
        <v>3.86</v>
      </c>
      <c r="AB261" s="106">
        <v>3.09</v>
      </c>
      <c r="AC261" s="350">
        <v>0</v>
      </c>
      <c r="AD261" s="404" t="s">
        <v>2069</v>
      </c>
      <c r="AE261" s="60" t="s">
        <v>2061</v>
      </c>
    </row>
    <row r="262" spans="1:31" s="325" customFormat="1" ht="27" customHeight="1" outlineLevel="1">
      <c r="A262" s="365" t="s">
        <v>2070</v>
      </c>
      <c r="B262" s="60" t="s">
        <v>2071</v>
      </c>
      <c r="C262" s="60" t="s">
        <v>2072</v>
      </c>
      <c r="D262" s="61" t="s">
        <v>2058</v>
      </c>
      <c r="E262" s="60" t="s">
        <v>2059</v>
      </c>
      <c r="F262" s="63">
        <v>26</v>
      </c>
      <c r="G262" s="63" t="s">
        <v>268</v>
      </c>
      <c r="H262" s="64"/>
      <c r="I262" s="65"/>
      <c r="J262" s="105"/>
      <c r="K262" s="66"/>
      <c r="L262" s="107"/>
      <c r="M262" s="107"/>
      <c r="N262" s="107"/>
      <c r="O262" s="107"/>
      <c r="P262" s="66"/>
      <c r="Q262" s="107"/>
      <c r="R262" s="107"/>
      <c r="S262" s="107"/>
      <c r="T262" s="107"/>
      <c r="U262" s="66"/>
      <c r="V262" s="107"/>
      <c r="W262" s="107"/>
      <c r="X262" s="107"/>
      <c r="Y262" s="107"/>
      <c r="Z262" s="69"/>
      <c r="AA262" s="70"/>
      <c r="AB262" s="106"/>
      <c r="AC262" s="350"/>
      <c r="AD262" s="404" t="s">
        <v>2073</v>
      </c>
      <c r="AE262" s="60" t="s">
        <v>2061</v>
      </c>
    </row>
    <row r="263" spans="1:31" s="325" customFormat="1" ht="28.5" customHeight="1" outlineLevel="1">
      <c r="A263" s="365" t="s">
        <v>2074</v>
      </c>
      <c r="B263" s="60" t="s">
        <v>2075</v>
      </c>
      <c r="C263" s="60" t="s">
        <v>2076</v>
      </c>
      <c r="D263" s="61" t="s">
        <v>2058</v>
      </c>
      <c r="E263" s="60" t="s">
        <v>2059</v>
      </c>
      <c r="F263" s="63">
        <v>27</v>
      </c>
      <c r="G263" s="63" t="s">
        <v>268</v>
      </c>
      <c r="H263" s="64"/>
      <c r="I263" s="65"/>
      <c r="J263" s="105"/>
      <c r="K263" s="66"/>
      <c r="L263" s="107"/>
      <c r="M263" s="107"/>
      <c r="N263" s="107"/>
      <c r="O263" s="107"/>
      <c r="P263" s="66"/>
      <c r="Q263" s="107"/>
      <c r="R263" s="107"/>
      <c r="S263" s="107"/>
      <c r="T263" s="107"/>
      <c r="U263" s="66"/>
      <c r="V263" s="107"/>
      <c r="W263" s="107"/>
      <c r="X263" s="107"/>
      <c r="Y263" s="107"/>
      <c r="Z263" s="69"/>
      <c r="AA263" s="70"/>
      <c r="AB263" s="106"/>
      <c r="AC263" s="350"/>
      <c r="AD263" s="404" t="s">
        <v>2077</v>
      </c>
      <c r="AE263" s="60" t="s">
        <v>2061</v>
      </c>
    </row>
    <row r="264" spans="1:31" s="305" customFormat="1">
      <c r="A264" s="323" t="s">
        <v>581</v>
      </c>
      <c r="B264" s="217" t="s">
        <v>2078</v>
      </c>
      <c r="C264" s="45" t="s">
        <v>2079</v>
      </c>
      <c r="D264" s="88" t="s">
        <v>2058</v>
      </c>
      <c r="E264" s="30" t="s">
        <v>2059</v>
      </c>
      <c r="F264" s="47" t="s">
        <v>2080</v>
      </c>
      <c r="G264" s="47" t="s">
        <v>268</v>
      </c>
      <c r="H264" s="33">
        <v>19700</v>
      </c>
      <c r="I264" s="85">
        <v>16500</v>
      </c>
      <c r="J264" s="34">
        <v>3280</v>
      </c>
      <c r="K264" s="38">
        <v>30.1</v>
      </c>
      <c r="L264" s="307">
        <v>29.9</v>
      </c>
      <c r="M264" s="39">
        <v>20.6</v>
      </c>
      <c r="N264" s="39">
        <v>9.2200000000000006</v>
      </c>
      <c r="O264" s="36">
        <v>0.21299999999999999</v>
      </c>
      <c r="P264" s="38">
        <v>0.67100000000000004</v>
      </c>
      <c r="Q264" s="307">
        <v>0.65900000000000003</v>
      </c>
      <c r="R264" s="36">
        <v>0.65900000000000003</v>
      </c>
      <c r="S264" s="36">
        <v>0</v>
      </c>
      <c r="T264" s="36">
        <v>1.17E-2</v>
      </c>
      <c r="U264" s="86">
        <v>29.4</v>
      </c>
      <c r="V264" s="307">
        <v>29.2</v>
      </c>
      <c r="W264" s="36">
        <v>20</v>
      </c>
      <c r="X264" s="36">
        <v>9.2200000000000006</v>
      </c>
      <c r="Y264" s="36">
        <v>0.20200000000000001</v>
      </c>
      <c r="Z264" s="86">
        <v>14.4</v>
      </c>
      <c r="AA264" s="82">
        <v>11.3</v>
      </c>
      <c r="AB264" s="73">
        <v>3.09</v>
      </c>
      <c r="AC264" s="403">
        <v>0</v>
      </c>
      <c r="AD264" s="109" t="s">
        <v>2081</v>
      </c>
      <c r="AE264" s="30" t="s">
        <v>2061</v>
      </c>
    </row>
    <row r="265" spans="1:31" s="325" customFormat="1" ht="12.75" customHeight="1" outlineLevel="1">
      <c r="A265" s="365" t="s">
        <v>2082</v>
      </c>
      <c r="B265" s="60" t="s">
        <v>2083</v>
      </c>
      <c r="C265" s="60" t="s">
        <v>2084</v>
      </c>
      <c r="D265" s="61" t="s">
        <v>2058</v>
      </c>
      <c r="E265" s="60" t="s">
        <v>2059</v>
      </c>
      <c r="F265" s="63">
        <v>34.299999999999997</v>
      </c>
      <c r="G265" s="63" t="s">
        <v>268</v>
      </c>
      <c r="H265" s="64">
        <v>8880</v>
      </c>
      <c r="I265" s="65">
        <v>5600</v>
      </c>
      <c r="J265" s="105">
        <v>3280</v>
      </c>
      <c r="K265" s="66">
        <v>26.9</v>
      </c>
      <c r="L265" s="107">
        <v>26.7</v>
      </c>
      <c r="M265" s="107">
        <v>17.3</v>
      </c>
      <c r="N265" s="107">
        <v>9.4</v>
      </c>
      <c r="O265" s="107">
        <v>0.21299999999999999</v>
      </c>
      <c r="P265" s="66">
        <v>1.37</v>
      </c>
      <c r="Q265" s="107">
        <v>1.36</v>
      </c>
      <c r="R265" s="107">
        <v>1.36</v>
      </c>
      <c r="S265" s="107">
        <v>1.6900000000000001E-3</v>
      </c>
      <c r="T265" s="107">
        <v>1.17E-2</v>
      </c>
      <c r="U265" s="66">
        <v>25.5</v>
      </c>
      <c r="V265" s="107">
        <v>25.3</v>
      </c>
      <c r="W265" s="107">
        <v>15.9</v>
      </c>
      <c r="X265" s="107">
        <v>9.4</v>
      </c>
      <c r="Y265" s="107">
        <v>0.20200000000000001</v>
      </c>
      <c r="Z265" s="69">
        <v>6.96</v>
      </c>
      <c r="AA265" s="70">
        <v>3.87</v>
      </c>
      <c r="AB265" s="106">
        <v>3.09</v>
      </c>
      <c r="AC265" s="350">
        <v>0</v>
      </c>
      <c r="AD265" s="351" t="s">
        <v>2085</v>
      </c>
      <c r="AE265" s="60" t="s">
        <v>2061</v>
      </c>
    </row>
    <row r="266" spans="1:31" s="305" customFormat="1">
      <c r="A266" s="323" t="s">
        <v>780</v>
      </c>
      <c r="B266" s="217" t="s">
        <v>2086</v>
      </c>
      <c r="C266" s="45" t="s">
        <v>2087</v>
      </c>
      <c r="D266" s="44" t="s">
        <v>2088</v>
      </c>
      <c r="E266" s="30" t="s">
        <v>2089</v>
      </c>
      <c r="F266" s="47">
        <v>30</v>
      </c>
      <c r="G266" s="47" t="s">
        <v>268</v>
      </c>
      <c r="H266" s="33">
        <v>10400</v>
      </c>
      <c r="I266" s="85">
        <v>7490</v>
      </c>
      <c r="J266" s="34">
        <v>2920</v>
      </c>
      <c r="K266" s="38">
        <v>31</v>
      </c>
      <c r="L266" s="307">
        <v>30.3</v>
      </c>
      <c r="M266" s="39">
        <v>21.7</v>
      </c>
      <c r="N266" s="39">
        <v>8.58</v>
      </c>
      <c r="O266" s="36">
        <v>0.69899999999999995</v>
      </c>
      <c r="P266" s="38">
        <v>0.83</v>
      </c>
      <c r="Q266" s="307">
        <v>0.81299999999999994</v>
      </c>
      <c r="R266" s="36">
        <v>0.81299999999999994</v>
      </c>
      <c r="S266" s="36">
        <v>0</v>
      </c>
      <c r="T266" s="36">
        <v>1.7600000000000001E-2</v>
      </c>
      <c r="U266" s="38">
        <v>30.1</v>
      </c>
      <c r="V266" s="307">
        <v>29.5</v>
      </c>
      <c r="W266" s="36">
        <v>20.9</v>
      </c>
      <c r="X266" s="36">
        <v>8.58</v>
      </c>
      <c r="Y266" s="36">
        <v>0.68200000000000005</v>
      </c>
      <c r="Z266" s="72">
        <v>7.44</v>
      </c>
      <c r="AA266" s="77">
        <v>4.79</v>
      </c>
      <c r="AB266" s="73">
        <v>2.65</v>
      </c>
      <c r="AC266" s="403">
        <v>0</v>
      </c>
      <c r="AD266" s="109" t="s">
        <v>2090</v>
      </c>
      <c r="AE266" s="30" t="s">
        <v>2091</v>
      </c>
    </row>
    <row r="267" spans="1:31" s="325" customFormat="1" ht="12.6" customHeight="1" outlineLevel="1">
      <c r="A267" s="365" t="s">
        <v>2092</v>
      </c>
      <c r="B267" s="60" t="s">
        <v>2093</v>
      </c>
      <c r="C267" s="60" t="s">
        <v>2094</v>
      </c>
      <c r="D267" s="61" t="s">
        <v>2088</v>
      </c>
      <c r="E267" s="60" t="s">
        <v>2089</v>
      </c>
      <c r="F267" s="63">
        <v>30</v>
      </c>
      <c r="G267" s="63" t="s">
        <v>268</v>
      </c>
      <c r="H267" s="64">
        <v>9830</v>
      </c>
      <c r="I267" s="65">
        <v>6910</v>
      </c>
      <c r="J267" s="105">
        <v>2920</v>
      </c>
      <c r="K267" s="66">
        <v>29</v>
      </c>
      <c r="L267" s="107">
        <v>28.3</v>
      </c>
      <c r="M267" s="107">
        <v>20.3</v>
      </c>
      <c r="N267" s="107">
        <v>7.98</v>
      </c>
      <c r="O267" s="107">
        <v>0.69899999999999995</v>
      </c>
      <c r="P267" s="66">
        <v>1.03</v>
      </c>
      <c r="Q267" s="107">
        <v>1.02</v>
      </c>
      <c r="R267" s="107">
        <v>0.97299999999999998</v>
      </c>
      <c r="S267" s="107">
        <v>4.3999999999999997E-2</v>
      </c>
      <c r="T267" s="107">
        <v>1.7600000000000001E-2</v>
      </c>
      <c r="U267" s="66">
        <v>28</v>
      </c>
      <c r="V267" s="107">
        <v>27.3</v>
      </c>
      <c r="W267" s="107">
        <v>19.3</v>
      </c>
      <c r="X267" s="107">
        <v>7.94</v>
      </c>
      <c r="Y267" s="107">
        <v>0.68200000000000005</v>
      </c>
      <c r="Z267" s="69">
        <v>7.08</v>
      </c>
      <c r="AA267" s="70">
        <v>4.43</v>
      </c>
      <c r="AB267" s="106">
        <v>2.65</v>
      </c>
      <c r="AC267" s="350">
        <v>0</v>
      </c>
      <c r="AD267" s="351" t="s">
        <v>2095</v>
      </c>
      <c r="AE267" s="60" t="s">
        <v>2091</v>
      </c>
    </row>
    <row r="268" spans="1:31" s="305" customFormat="1">
      <c r="A268" s="323" t="s">
        <v>585</v>
      </c>
      <c r="B268" s="217" t="s">
        <v>2096</v>
      </c>
      <c r="C268" s="45" t="s">
        <v>2097</v>
      </c>
      <c r="D268" s="88" t="s">
        <v>1216</v>
      </c>
      <c r="E268" s="30" t="s">
        <v>1217</v>
      </c>
      <c r="F268" s="47" t="s">
        <v>2098</v>
      </c>
      <c r="G268" s="47" t="s">
        <v>268</v>
      </c>
      <c r="H268" s="33">
        <v>1760</v>
      </c>
      <c r="I268" s="85">
        <v>1710</v>
      </c>
      <c r="J268" s="49">
        <v>42.5</v>
      </c>
      <c r="K268" s="86">
        <v>7.04</v>
      </c>
      <c r="L268" s="307">
        <v>6.99</v>
      </c>
      <c r="M268" s="39">
        <v>6.99</v>
      </c>
      <c r="N268" s="39">
        <v>0</v>
      </c>
      <c r="O268" s="36">
        <v>5.4800000000000001E-2</v>
      </c>
      <c r="P268" s="86">
        <v>1.88</v>
      </c>
      <c r="Q268" s="307">
        <v>1.88</v>
      </c>
      <c r="R268" s="36">
        <v>1.88</v>
      </c>
      <c r="S268" s="36">
        <v>0</v>
      </c>
      <c r="T268" s="36">
        <v>2.2100000000000002E-3</v>
      </c>
      <c r="U268" s="86">
        <v>5.16</v>
      </c>
      <c r="V268" s="307">
        <v>5.1100000000000003</v>
      </c>
      <c r="W268" s="36">
        <v>5.1100000000000003</v>
      </c>
      <c r="X268" s="36">
        <v>0</v>
      </c>
      <c r="Y268" s="36">
        <v>5.2600000000000001E-2</v>
      </c>
      <c r="Z268" s="72">
        <v>1.19</v>
      </c>
      <c r="AA268" s="77">
        <v>1.17</v>
      </c>
      <c r="AB268" s="52">
        <v>1.2699999999999999E-2</v>
      </c>
      <c r="AC268" s="341">
        <v>0</v>
      </c>
      <c r="AD268" s="109" t="s">
        <v>210</v>
      </c>
      <c r="AE268" s="30" t="s">
        <v>2006</v>
      </c>
    </row>
    <row r="269" spans="1:31" s="325" customFormat="1" ht="12.6" customHeight="1" outlineLevel="1">
      <c r="A269" s="365" t="s">
        <v>2099</v>
      </c>
      <c r="B269" s="60" t="s">
        <v>2100</v>
      </c>
      <c r="C269" s="60" t="s">
        <v>2101</v>
      </c>
      <c r="D269" s="61" t="s">
        <v>1216</v>
      </c>
      <c r="E269" s="60" t="s">
        <v>1217</v>
      </c>
      <c r="F269" s="63">
        <v>120</v>
      </c>
      <c r="G269" s="63" t="s">
        <v>268</v>
      </c>
      <c r="H269" s="64">
        <v>1020</v>
      </c>
      <c r="I269" s="65">
        <v>979</v>
      </c>
      <c r="J269" s="105">
        <v>42.5</v>
      </c>
      <c r="K269" s="66">
        <v>3.35</v>
      </c>
      <c r="L269" s="107">
        <v>3.3</v>
      </c>
      <c r="M269" s="107">
        <v>3.3</v>
      </c>
      <c r="N269" s="107">
        <v>0</v>
      </c>
      <c r="O269" s="107">
        <v>5.4800000000000001E-2</v>
      </c>
      <c r="P269" s="66">
        <v>0.20599999999999999</v>
      </c>
      <c r="Q269" s="107">
        <v>0.20300000000000001</v>
      </c>
      <c r="R269" s="107">
        <v>0.20300000000000001</v>
      </c>
      <c r="S269" s="107">
        <v>0</v>
      </c>
      <c r="T269" s="107">
        <v>2.2100000000000002E-3</v>
      </c>
      <c r="U269" s="66">
        <v>3.15</v>
      </c>
      <c r="V269" s="107">
        <v>3.1</v>
      </c>
      <c r="W269" s="107">
        <v>3.1</v>
      </c>
      <c r="X269" s="107">
        <v>0</v>
      </c>
      <c r="Y269" s="107">
        <v>5.2600000000000001E-2</v>
      </c>
      <c r="Z269" s="69">
        <v>0.70699999999999996</v>
      </c>
      <c r="AA269" s="70">
        <v>0.69399999999999995</v>
      </c>
      <c r="AB269" s="106">
        <v>1.2699999999999999E-2</v>
      </c>
      <c r="AC269" s="350">
        <v>0</v>
      </c>
      <c r="AD269" s="351" t="s">
        <v>2102</v>
      </c>
      <c r="AE269" s="60" t="s">
        <v>2006</v>
      </c>
    </row>
    <row r="270" spans="1:31" s="305" customFormat="1">
      <c r="A270" s="1339" t="s">
        <v>2103</v>
      </c>
      <c r="B270" s="217" t="s">
        <v>2104</v>
      </c>
      <c r="C270" s="45" t="s">
        <v>2105</v>
      </c>
      <c r="D270" s="88" t="s">
        <v>1216</v>
      </c>
      <c r="E270" s="30" t="s">
        <v>1217</v>
      </c>
      <c r="F270" s="47" t="s">
        <v>2106</v>
      </c>
      <c r="G270" s="47" t="s">
        <v>268</v>
      </c>
      <c r="H270" s="33">
        <v>499</v>
      </c>
      <c r="I270" s="85">
        <v>457</v>
      </c>
      <c r="J270" s="49">
        <v>42.5</v>
      </c>
      <c r="K270" s="86">
        <v>2</v>
      </c>
      <c r="L270" s="307">
        <v>1.95</v>
      </c>
      <c r="M270" s="39">
        <v>1.95</v>
      </c>
      <c r="N270" s="39">
        <v>0</v>
      </c>
      <c r="O270" s="36">
        <v>5.4800000000000001E-2</v>
      </c>
      <c r="P270" s="86">
        <v>0.26200000000000001</v>
      </c>
      <c r="Q270" s="307">
        <v>0.26</v>
      </c>
      <c r="R270" s="36">
        <v>0.26</v>
      </c>
      <c r="S270" s="36">
        <v>0</v>
      </c>
      <c r="T270" s="36">
        <v>2.2100000000000002E-3</v>
      </c>
      <c r="U270" s="86">
        <v>1.74</v>
      </c>
      <c r="V270" s="307">
        <v>1.69</v>
      </c>
      <c r="W270" s="36">
        <v>1.69</v>
      </c>
      <c r="X270" s="36">
        <v>0</v>
      </c>
      <c r="Y270" s="36">
        <v>5.2600000000000001E-2</v>
      </c>
      <c r="Z270" s="72">
        <v>0.16</v>
      </c>
      <c r="AA270" s="77">
        <v>0.14799999999999999</v>
      </c>
      <c r="AB270" s="52">
        <v>1.2699999999999999E-2</v>
      </c>
      <c r="AC270" s="341">
        <v>0</v>
      </c>
      <c r="AD270" s="109" t="s">
        <v>2107</v>
      </c>
      <c r="AE270" s="30" t="s">
        <v>2006</v>
      </c>
    </row>
    <row r="271" spans="1:31" s="305" customFormat="1" ht="12.75" customHeight="1" outlineLevel="1">
      <c r="A271" s="318" t="s">
        <v>2108</v>
      </c>
      <c r="B271" s="60" t="s">
        <v>2109</v>
      </c>
      <c r="C271" s="94" t="s">
        <v>2110</v>
      </c>
      <c r="D271" s="61" t="s">
        <v>1216</v>
      </c>
      <c r="E271" s="60" t="s">
        <v>1217</v>
      </c>
      <c r="F271" s="97" t="s">
        <v>2106</v>
      </c>
      <c r="G271" s="97" t="s">
        <v>268</v>
      </c>
      <c r="H271" s="64">
        <v>434</v>
      </c>
      <c r="I271" s="99">
        <v>392</v>
      </c>
      <c r="J271" s="105">
        <v>42.5</v>
      </c>
      <c r="K271" s="66">
        <v>1.8</v>
      </c>
      <c r="L271" s="319">
        <v>1.74</v>
      </c>
      <c r="M271" s="107">
        <v>1.74</v>
      </c>
      <c r="N271" s="107">
        <v>0</v>
      </c>
      <c r="O271" s="107">
        <v>5.4800000000000001E-2</v>
      </c>
      <c r="P271" s="66">
        <v>0.246</v>
      </c>
      <c r="Q271" s="319">
        <v>0.24299999999999999</v>
      </c>
      <c r="R271" s="107">
        <v>0.24299999999999999</v>
      </c>
      <c r="S271" s="107">
        <v>0</v>
      </c>
      <c r="T271" s="107">
        <v>2.2100000000000002E-3</v>
      </c>
      <c r="U271" s="66">
        <v>1.55</v>
      </c>
      <c r="V271" s="319">
        <v>1.5</v>
      </c>
      <c r="W271" s="107">
        <v>1.5</v>
      </c>
      <c r="X271" s="107">
        <v>0</v>
      </c>
      <c r="Y271" s="107">
        <v>5.2600000000000001E-2</v>
      </c>
      <c r="Z271" s="69">
        <v>0.13200000000000001</v>
      </c>
      <c r="AA271" s="104">
        <v>0.12</v>
      </c>
      <c r="AB271" s="106">
        <v>1.2699999999999999E-2</v>
      </c>
      <c r="AC271" s="350">
        <v>0</v>
      </c>
      <c r="AD271" s="375" t="s">
        <v>2111</v>
      </c>
      <c r="AE271" s="60" t="s">
        <v>2006</v>
      </c>
    </row>
    <row r="272" spans="1:31" s="305" customFormat="1">
      <c r="A272" s="323" t="s">
        <v>699</v>
      </c>
      <c r="B272" s="217" t="s">
        <v>2112</v>
      </c>
      <c r="C272" s="45" t="s">
        <v>2113</v>
      </c>
      <c r="D272" s="88" t="s">
        <v>2032</v>
      </c>
      <c r="E272" s="30" t="s">
        <v>2033</v>
      </c>
      <c r="F272" s="47" t="s">
        <v>2114</v>
      </c>
      <c r="G272" s="47" t="s">
        <v>268</v>
      </c>
      <c r="H272" s="33">
        <v>1360</v>
      </c>
      <c r="I272" s="85">
        <v>1240</v>
      </c>
      <c r="J272" s="49">
        <v>116</v>
      </c>
      <c r="K272" s="86">
        <v>4.88</v>
      </c>
      <c r="L272" s="307">
        <v>4.7300000000000004</v>
      </c>
      <c r="M272" s="39">
        <v>4.7300000000000004</v>
      </c>
      <c r="N272" s="39">
        <v>0</v>
      </c>
      <c r="O272" s="36">
        <v>0.14299999999999999</v>
      </c>
      <c r="P272" s="86">
        <v>1.65</v>
      </c>
      <c r="Q272" s="307">
        <v>1.64</v>
      </c>
      <c r="R272" s="36">
        <v>1.64</v>
      </c>
      <c r="S272" s="36">
        <v>0</v>
      </c>
      <c r="T272" s="36">
        <v>1.0699999999999999E-2</v>
      </c>
      <c r="U272" s="86">
        <v>3.23</v>
      </c>
      <c r="V272" s="307">
        <v>3.1</v>
      </c>
      <c r="W272" s="36">
        <v>3.1</v>
      </c>
      <c r="X272" s="36">
        <v>0</v>
      </c>
      <c r="Y272" s="36">
        <v>0.13300000000000001</v>
      </c>
      <c r="Z272" s="72">
        <v>0.81599999999999995</v>
      </c>
      <c r="AA272" s="77">
        <v>0.75700000000000001</v>
      </c>
      <c r="AB272" s="52">
        <v>5.9200000000000003E-2</v>
      </c>
      <c r="AC272" s="341">
        <v>0</v>
      </c>
      <c r="AD272" s="109" t="s">
        <v>697</v>
      </c>
      <c r="AE272" s="30" t="s">
        <v>2035</v>
      </c>
    </row>
    <row r="273" spans="1:31" s="305" customFormat="1" ht="12.75" customHeight="1" outlineLevel="1">
      <c r="A273" s="402" t="s">
        <v>2115</v>
      </c>
      <c r="B273" s="60" t="s">
        <v>2116</v>
      </c>
      <c r="C273" s="94" t="s">
        <v>2117</v>
      </c>
      <c r="D273" s="61" t="s">
        <v>2032</v>
      </c>
      <c r="E273" s="60" t="s">
        <v>2033</v>
      </c>
      <c r="F273" s="97" t="s">
        <v>2114</v>
      </c>
      <c r="G273" s="97" t="s">
        <v>268</v>
      </c>
      <c r="H273" s="64">
        <v>1100</v>
      </c>
      <c r="I273" s="99">
        <v>982</v>
      </c>
      <c r="J273" s="105">
        <v>116</v>
      </c>
      <c r="K273" s="66">
        <v>4.5599999999999996</v>
      </c>
      <c r="L273" s="319">
        <v>4.41</v>
      </c>
      <c r="M273" s="107">
        <v>4.41</v>
      </c>
      <c r="N273" s="107">
        <v>0</v>
      </c>
      <c r="O273" s="107">
        <v>0.14299999999999999</v>
      </c>
      <c r="P273" s="66">
        <v>2.0099999999999998</v>
      </c>
      <c r="Q273" s="319">
        <v>2</v>
      </c>
      <c r="R273" s="107">
        <v>2</v>
      </c>
      <c r="S273" s="107">
        <v>0</v>
      </c>
      <c r="T273" s="107">
        <v>1.0699999999999999E-2</v>
      </c>
      <c r="U273" s="66">
        <v>2.5499999999999998</v>
      </c>
      <c r="V273" s="319">
        <v>2.41</v>
      </c>
      <c r="W273" s="107">
        <v>2.41</v>
      </c>
      <c r="X273" s="107">
        <v>0</v>
      </c>
      <c r="Y273" s="107">
        <v>0.13300000000000001</v>
      </c>
      <c r="Z273" s="69">
        <v>0.61699999999999999</v>
      </c>
      <c r="AA273" s="104">
        <v>0.55800000000000005</v>
      </c>
      <c r="AB273" s="106">
        <v>5.9200000000000003E-2</v>
      </c>
      <c r="AC273" s="350">
        <v>0</v>
      </c>
      <c r="AD273" s="375" t="s">
        <v>2118</v>
      </c>
      <c r="AE273" s="60" t="s">
        <v>2035</v>
      </c>
    </row>
    <row r="274" spans="1:31" s="305" customFormat="1">
      <c r="A274" s="1339" t="s">
        <v>2119</v>
      </c>
      <c r="B274" s="217" t="s">
        <v>2120</v>
      </c>
      <c r="C274" s="45" t="s">
        <v>2121</v>
      </c>
      <c r="D274" s="44" t="s">
        <v>2122</v>
      </c>
      <c r="E274" s="45" t="s">
        <v>2123</v>
      </c>
      <c r="F274" s="47">
        <v>215</v>
      </c>
      <c r="G274" s="47" t="s">
        <v>268</v>
      </c>
      <c r="H274" s="84">
        <v>586</v>
      </c>
      <c r="I274" s="85">
        <v>586</v>
      </c>
      <c r="J274" s="75">
        <v>0</v>
      </c>
      <c r="K274" s="81">
        <v>5.0999999999999996</v>
      </c>
      <c r="L274" s="307">
        <v>5.0999999999999996</v>
      </c>
      <c r="M274" s="39">
        <v>0.32400000000000001</v>
      </c>
      <c r="N274" s="36">
        <v>4.78</v>
      </c>
      <c r="O274" s="307">
        <v>0</v>
      </c>
      <c r="P274" s="81">
        <v>4.87</v>
      </c>
      <c r="Q274" s="307">
        <v>4.87</v>
      </c>
      <c r="R274" s="36">
        <v>9.4899999999999998E-2</v>
      </c>
      <c r="S274" s="36">
        <v>4.78</v>
      </c>
      <c r="T274" s="36">
        <v>0</v>
      </c>
      <c r="U274" s="86">
        <v>0.22900000000000001</v>
      </c>
      <c r="V274" s="307">
        <v>0.22900000000000001</v>
      </c>
      <c r="W274" s="36">
        <v>0.22900000000000001</v>
      </c>
      <c r="X274" s="36">
        <v>0</v>
      </c>
      <c r="Y274" s="36">
        <v>0</v>
      </c>
      <c r="Z274" s="72">
        <v>9.5600000000000004E-2</v>
      </c>
      <c r="AA274" s="77">
        <v>9.5600000000000004E-2</v>
      </c>
      <c r="AB274" s="52">
        <v>0</v>
      </c>
      <c r="AC274" s="341">
        <v>0.36799999999999999</v>
      </c>
      <c r="AD274" s="332" t="s">
        <v>2124</v>
      </c>
      <c r="AE274" s="45" t="s">
        <v>2125</v>
      </c>
    </row>
    <row r="275" spans="1:31" s="305" customFormat="1">
      <c r="A275" s="323" t="s">
        <v>2126</v>
      </c>
      <c r="B275" s="217" t="s">
        <v>2127</v>
      </c>
      <c r="C275" s="45" t="s">
        <v>2128</v>
      </c>
      <c r="D275" s="44" t="s">
        <v>2129</v>
      </c>
      <c r="E275" s="30" t="s">
        <v>2130</v>
      </c>
      <c r="F275" s="89">
        <v>147.5</v>
      </c>
      <c r="G275" s="47" t="s">
        <v>268</v>
      </c>
      <c r="H275" s="54">
        <v>1400</v>
      </c>
      <c r="I275" s="74">
        <v>1180</v>
      </c>
      <c r="J275" s="49">
        <v>227</v>
      </c>
      <c r="K275" s="86">
        <v>10.5</v>
      </c>
      <c r="L275" s="307">
        <v>10.4</v>
      </c>
      <c r="M275" s="39">
        <v>4.67</v>
      </c>
      <c r="N275" s="39">
        <v>5.7</v>
      </c>
      <c r="O275" s="36">
        <v>0.16400000000000001</v>
      </c>
      <c r="P275" s="86">
        <v>7.11</v>
      </c>
      <c r="Q275" s="307">
        <v>7.1</v>
      </c>
      <c r="R275" s="36">
        <v>1.93</v>
      </c>
      <c r="S275" s="36">
        <v>5.17</v>
      </c>
      <c r="T275" s="36">
        <v>1.26E-2</v>
      </c>
      <c r="U275" s="86">
        <v>3.42</v>
      </c>
      <c r="V275" s="307">
        <v>3.27</v>
      </c>
      <c r="W275" s="36">
        <v>2.74</v>
      </c>
      <c r="X275" s="36">
        <v>0.53</v>
      </c>
      <c r="Y275" s="36">
        <v>0.151</v>
      </c>
      <c r="Z275" s="50">
        <v>0.72499999999999998</v>
      </c>
      <c r="AA275" s="78">
        <v>0.63300000000000001</v>
      </c>
      <c r="AB275" s="52">
        <v>9.2100000000000001E-2</v>
      </c>
      <c r="AC275" s="341">
        <v>0.436</v>
      </c>
      <c r="AD275" s="109" t="s">
        <v>2131</v>
      </c>
      <c r="AE275" s="30" t="s">
        <v>2132</v>
      </c>
    </row>
    <row r="276" spans="1:31" s="305" customFormat="1">
      <c r="A276" s="323" t="s">
        <v>742</v>
      </c>
      <c r="B276" s="217" t="s">
        <v>2133</v>
      </c>
      <c r="C276" s="45" t="s">
        <v>2134</v>
      </c>
      <c r="D276" s="44" t="s">
        <v>2135</v>
      </c>
      <c r="E276" s="30" t="s">
        <v>2136</v>
      </c>
      <c r="F276" s="47" t="s">
        <v>2137</v>
      </c>
      <c r="G276" s="47" t="s">
        <v>268</v>
      </c>
      <c r="H276" s="54">
        <v>556</v>
      </c>
      <c r="I276" s="74">
        <v>395</v>
      </c>
      <c r="J276" s="49">
        <v>161</v>
      </c>
      <c r="K276" s="72">
        <v>1.31</v>
      </c>
      <c r="L276" s="307">
        <v>1.1299999999999999</v>
      </c>
      <c r="M276" s="39">
        <v>1.1299999999999999</v>
      </c>
      <c r="N276" s="36">
        <v>0</v>
      </c>
      <c r="O276" s="36">
        <v>0.17799999999999999</v>
      </c>
      <c r="P276" s="72">
        <v>0.25900000000000001</v>
      </c>
      <c r="Q276" s="307">
        <v>0.245</v>
      </c>
      <c r="R276" s="36">
        <v>0.245</v>
      </c>
      <c r="S276" s="36">
        <v>0</v>
      </c>
      <c r="T276" s="36">
        <v>1.37E-2</v>
      </c>
      <c r="U276" s="72">
        <v>1.05</v>
      </c>
      <c r="V276" s="307">
        <v>0.88200000000000001</v>
      </c>
      <c r="W276" s="36">
        <v>0.88200000000000001</v>
      </c>
      <c r="X276" s="36">
        <v>0</v>
      </c>
      <c r="Y276" s="36">
        <v>0.16500000000000001</v>
      </c>
      <c r="Z276" s="50">
        <v>0.28000000000000003</v>
      </c>
      <c r="AA276" s="78">
        <v>0.20899999999999999</v>
      </c>
      <c r="AB276" s="52">
        <v>7.0900000000000005E-2</v>
      </c>
      <c r="AC276" s="341">
        <v>0.40400000000000003</v>
      </c>
      <c r="AD276" s="109" t="s">
        <v>2138</v>
      </c>
      <c r="AE276" s="30" t="s">
        <v>2139</v>
      </c>
    </row>
    <row r="277" spans="1:31" s="305" customFormat="1" ht="12.75" customHeight="1" outlineLevel="1">
      <c r="A277" s="402" t="s">
        <v>2140</v>
      </c>
      <c r="B277" s="60" t="s">
        <v>2141</v>
      </c>
      <c r="C277" s="94" t="s">
        <v>2142</v>
      </c>
      <c r="D277" s="95" t="s">
        <v>2135</v>
      </c>
      <c r="E277" s="60" t="s">
        <v>2136</v>
      </c>
      <c r="F277" s="97" t="s">
        <v>2137</v>
      </c>
      <c r="G277" s="97" t="s">
        <v>268</v>
      </c>
      <c r="H277" s="110">
        <v>470</v>
      </c>
      <c r="I277" s="108">
        <v>309</v>
      </c>
      <c r="J277" s="105">
        <v>161</v>
      </c>
      <c r="K277" s="69">
        <v>1.0900000000000001</v>
      </c>
      <c r="L277" s="319">
        <v>0.90900000000000003</v>
      </c>
      <c r="M277" s="107">
        <v>0.90900000000000003</v>
      </c>
      <c r="N277" s="107">
        <v>0</v>
      </c>
      <c r="O277" s="107">
        <v>0.17799999999999999</v>
      </c>
      <c r="P277" s="69">
        <v>0.24</v>
      </c>
      <c r="Q277" s="319">
        <v>0.22600000000000001</v>
      </c>
      <c r="R277" s="107">
        <v>0.22600000000000001</v>
      </c>
      <c r="S277" s="107">
        <v>0</v>
      </c>
      <c r="T277" s="107">
        <v>1.37E-2</v>
      </c>
      <c r="U277" s="69">
        <v>0.84799999999999998</v>
      </c>
      <c r="V277" s="319">
        <v>0.68300000000000005</v>
      </c>
      <c r="W277" s="107">
        <v>0.68300000000000005</v>
      </c>
      <c r="X277" s="107">
        <v>0</v>
      </c>
      <c r="Y277" s="107">
        <v>0.16500000000000001</v>
      </c>
      <c r="Z277" s="111">
        <v>0.23300000000000001</v>
      </c>
      <c r="AA277" s="102">
        <v>0.16300000000000001</v>
      </c>
      <c r="AB277" s="106">
        <v>7.0900000000000005E-2</v>
      </c>
      <c r="AC277" s="350">
        <v>0.40400000000000003</v>
      </c>
      <c r="AD277" s="375" t="s">
        <v>2143</v>
      </c>
      <c r="AE277" s="60" t="s">
        <v>2139</v>
      </c>
    </row>
    <row r="278" spans="1:31" s="305" customFormat="1" ht="14.25">
      <c r="A278" s="298" t="s">
        <v>2144</v>
      </c>
      <c r="B278" s="691"/>
      <c r="C278" s="41" t="s">
        <v>2145</v>
      </c>
      <c r="D278" s="40"/>
      <c r="E278" s="41"/>
      <c r="F278" s="42" t="s">
        <v>1429</v>
      </c>
      <c r="G278" s="43"/>
      <c r="H278" s="299"/>
      <c r="I278" s="299"/>
      <c r="J278" s="355"/>
      <c r="K278" s="330"/>
      <c r="L278" s="329"/>
      <c r="M278" s="312"/>
      <c r="N278" s="312"/>
      <c r="O278" s="329"/>
      <c r="P278" s="329"/>
      <c r="Q278" s="329"/>
      <c r="R278" s="312"/>
      <c r="S278" s="312"/>
      <c r="T278" s="329"/>
      <c r="U278" s="330"/>
      <c r="V278" s="329"/>
      <c r="W278" s="312"/>
      <c r="X278" s="312"/>
      <c r="Y278" s="330"/>
      <c r="Z278" s="328"/>
      <c r="AA278" s="322"/>
      <c r="AB278" s="328"/>
      <c r="AC278" s="328"/>
      <c r="AD278" s="304" t="s">
        <v>2146</v>
      </c>
      <c r="AE278" s="41"/>
    </row>
    <row r="279" spans="1:31" s="305" customFormat="1" ht="14.25">
      <c r="A279" s="405" t="s">
        <v>2147</v>
      </c>
      <c r="B279" s="217" t="s">
        <v>2148</v>
      </c>
      <c r="C279" s="45" t="s">
        <v>2149</v>
      </c>
      <c r="D279" s="406" t="s">
        <v>2150</v>
      </c>
      <c r="E279" s="30" t="s">
        <v>2151</v>
      </c>
      <c r="F279" s="47">
        <v>4.55</v>
      </c>
      <c r="G279" s="47" t="s">
        <v>1019</v>
      </c>
      <c r="H279" s="33">
        <v>41700</v>
      </c>
      <c r="I279" s="85">
        <v>33500</v>
      </c>
      <c r="J279" s="34">
        <v>8240</v>
      </c>
      <c r="K279" s="38">
        <v>66.599999999999994</v>
      </c>
      <c r="L279" s="307">
        <v>64.3</v>
      </c>
      <c r="M279" s="39">
        <v>55.2</v>
      </c>
      <c r="N279" s="36">
        <v>9.1199999999999992</v>
      </c>
      <c r="O279" s="36">
        <v>2.34</v>
      </c>
      <c r="P279" s="38">
        <v>1.55</v>
      </c>
      <c r="Q279" s="307">
        <v>1.47</v>
      </c>
      <c r="R279" s="36">
        <v>1.47</v>
      </c>
      <c r="S279" s="36">
        <v>0</v>
      </c>
      <c r="T279" s="36">
        <v>8.1600000000000006E-2</v>
      </c>
      <c r="U279" s="38">
        <v>65.099999999999994</v>
      </c>
      <c r="V279" s="307">
        <v>62.8</v>
      </c>
      <c r="W279" s="36">
        <v>53.7</v>
      </c>
      <c r="X279" s="36">
        <v>9.1199999999999992</v>
      </c>
      <c r="Y279" s="36">
        <v>2.2599999999999998</v>
      </c>
      <c r="Z279" s="72">
        <v>18.399999999999999</v>
      </c>
      <c r="AA279" s="77">
        <v>11.1</v>
      </c>
      <c r="AB279" s="73">
        <v>7.24</v>
      </c>
      <c r="AC279" s="308">
        <v>0</v>
      </c>
      <c r="AD279" s="109" t="s">
        <v>2152</v>
      </c>
      <c r="AE279" s="30" t="s">
        <v>2153</v>
      </c>
    </row>
    <row r="280" spans="1:31" s="305" customFormat="1" ht="14.25">
      <c r="A280" s="405" t="s">
        <v>2154</v>
      </c>
      <c r="B280" s="217" t="s">
        <v>2155</v>
      </c>
      <c r="C280" s="45" t="s">
        <v>2156</v>
      </c>
      <c r="D280" s="45" t="s">
        <v>2157</v>
      </c>
      <c r="E280" s="30" t="s">
        <v>2158</v>
      </c>
      <c r="F280" s="47">
        <v>3.6</v>
      </c>
      <c r="G280" s="47" t="s">
        <v>1019</v>
      </c>
      <c r="H280" s="33">
        <v>25800</v>
      </c>
      <c r="I280" s="85">
        <v>21300</v>
      </c>
      <c r="J280" s="34">
        <v>4540</v>
      </c>
      <c r="K280" s="38">
        <v>64</v>
      </c>
      <c r="L280" s="307">
        <v>62.5</v>
      </c>
      <c r="M280" s="39">
        <v>60.2</v>
      </c>
      <c r="N280" s="36">
        <v>2.31</v>
      </c>
      <c r="O280" s="36">
        <v>1.51</v>
      </c>
      <c r="P280" s="38">
        <v>2.0699999999999998</v>
      </c>
      <c r="Q280" s="307">
        <v>2.0099999999999998</v>
      </c>
      <c r="R280" s="36">
        <v>2.0099999999999998</v>
      </c>
      <c r="S280" s="36">
        <v>0</v>
      </c>
      <c r="T280" s="36">
        <v>6.13E-2</v>
      </c>
      <c r="U280" s="38">
        <v>62</v>
      </c>
      <c r="V280" s="307">
        <v>60.5</v>
      </c>
      <c r="W280" s="36">
        <v>58.2</v>
      </c>
      <c r="X280" s="36">
        <v>2.31</v>
      </c>
      <c r="Y280" s="36">
        <v>1.45</v>
      </c>
      <c r="Z280" s="72">
        <v>13.9</v>
      </c>
      <c r="AA280" s="77">
        <v>10</v>
      </c>
      <c r="AB280" s="73">
        <v>3.87</v>
      </c>
      <c r="AC280" s="308">
        <v>0</v>
      </c>
      <c r="AD280" s="109" t="s">
        <v>2159</v>
      </c>
      <c r="AE280" s="30" t="s">
        <v>2160</v>
      </c>
    </row>
    <row r="281" spans="1:31" s="305" customFormat="1" ht="14.25">
      <c r="A281" s="405" t="s">
        <v>2161</v>
      </c>
      <c r="B281" s="217" t="s">
        <v>2162</v>
      </c>
      <c r="C281" s="45" t="s">
        <v>2163</v>
      </c>
      <c r="D281" s="45" t="s">
        <v>2164</v>
      </c>
      <c r="E281" s="30" t="s">
        <v>2165</v>
      </c>
      <c r="F281" s="47">
        <v>8.25</v>
      </c>
      <c r="G281" s="47" t="s">
        <v>1019</v>
      </c>
      <c r="H281" s="33">
        <v>38800</v>
      </c>
      <c r="I281" s="85">
        <v>25400</v>
      </c>
      <c r="J281" s="34">
        <v>13400</v>
      </c>
      <c r="K281" s="38">
        <v>115</v>
      </c>
      <c r="L281" s="307">
        <v>112</v>
      </c>
      <c r="M281" s="39">
        <v>94.1</v>
      </c>
      <c r="N281" s="36">
        <v>18.100000000000001</v>
      </c>
      <c r="O281" s="36">
        <v>2.87</v>
      </c>
      <c r="P281" s="38">
        <v>2.56</v>
      </c>
      <c r="Q281" s="307">
        <v>2.41</v>
      </c>
      <c r="R281" s="36">
        <v>2.41</v>
      </c>
      <c r="S281" s="36">
        <v>0</v>
      </c>
      <c r="T281" s="36">
        <v>0.14000000000000001</v>
      </c>
      <c r="U281" s="38">
        <v>113</v>
      </c>
      <c r="V281" s="307">
        <v>110</v>
      </c>
      <c r="W281" s="36">
        <v>91.7</v>
      </c>
      <c r="X281" s="36">
        <v>18.100000000000001</v>
      </c>
      <c r="Y281" s="36">
        <v>2.73</v>
      </c>
      <c r="Z281" s="86">
        <v>26.8</v>
      </c>
      <c r="AA281" s="82">
        <v>14.9</v>
      </c>
      <c r="AB281" s="87">
        <v>11.9</v>
      </c>
      <c r="AC281" s="308">
        <v>0</v>
      </c>
      <c r="AD281" s="109" t="s">
        <v>2166</v>
      </c>
      <c r="AE281" s="30" t="s">
        <v>2167</v>
      </c>
    </row>
    <row r="282" spans="1:31" s="305" customFormat="1" ht="14.25">
      <c r="A282" s="405" t="s">
        <v>2168</v>
      </c>
      <c r="B282" s="217" t="s">
        <v>2169</v>
      </c>
      <c r="C282" s="45" t="s">
        <v>2170</v>
      </c>
      <c r="D282" s="45" t="s">
        <v>2171</v>
      </c>
      <c r="E282" s="30" t="s">
        <v>2172</v>
      </c>
      <c r="F282" s="47">
        <v>63.3</v>
      </c>
      <c r="G282" s="47" t="s">
        <v>1019</v>
      </c>
      <c r="H282" s="33">
        <v>33700</v>
      </c>
      <c r="I282" s="85">
        <v>24600</v>
      </c>
      <c r="J282" s="34">
        <v>9070</v>
      </c>
      <c r="K282" s="38">
        <v>129</v>
      </c>
      <c r="L282" s="307">
        <v>124</v>
      </c>
      <c r="M282" s="39">
        <v>65.400000000000006</v>
      </c>
      <c r="N282" s="36">
        <v>58.2</v>
      </c>
      <c r="O282" s="36">
        <v>5.56</v>
      </c>
      <c r="P282" s="38">
        <v>3.44</v>
      </c>
      <c r="Q282" s="307">
        <v>3.28</v>
      </c>
      <c r="R282" s="36">
        <v>3.28</v>
      </c>
      <c r="S282" s="36">
        <v>0</v>
      </c>
      <c r="T282" s="36">
        <v>0.155</v>
      </c>
      <c r="U282" s="38">
        <v>126</v>
      </c>
      <c r="V282" s="307">
        <v>120</v>
      </c>
      <c r="W282" s="36">
        <v>62.1</v>
      </c>
      <c r="X282" s="36">
        <v>58.2</v>
      </c>
      <c r="Y282" s="36">
        <v>5.4</v>
      </c>
      <c r="Z282" s="72">
        <v>15.9</v>
      </c>
      <c r="AA282" s="77">
        <v>14.7</v>
      </c>
      <c r="AB282" s="73">
        <v>1.22</v>
      </c>
      <c r="AC282" s="308">
        <v>0</v>
      </c>
      <c r="AD282" s="109" t="s">
        <v>2173</v>
      </c>
      <c r="AE282" s="30" t="s">
        <v>2174</v>
      </c>
    </row>
    <row r="283" spans="1:31" s="305" customFormat="1" ht="14.25">
      <c r="A283" s="405" t="s">
        <v>832</v>
      </c>
      <c r="B283" s="217" t="s">
        <v>2175</v>
      </c>
      <c r="C283" s="45" t="s">
        <v>2176</v>
      </c>
      <c r="D283" s="45" t="s">
        <v>2177</v>
      </c>
      <c r="E283" s="30" t="s">
        <v>2178</v>
      </c>
      <c r="F283" s="47">
        <v>57.8</v>
      </c>
      <c r="G283" s="47" t="s">
        <v>1019</v>
      </c>
      <c r="H283" s="33">
        <v>26600</v>
      </c>
      <c r="I283" s="85">
        <v>24100</v>
      </c>
      <c r="J283" s="34">
        <v>2460</v>
      </c>
      <c r="K283" s="38">
        <v>48.9</v>
      </c>
      <c r="L283" s="307">
        <v>45.7</v>
      </c>
      <c r="M283" s="39">
        <v>45.7</v>
      </c>
      <c r="N283" s="36">
        <v>0</v>
      </c>
      <c r="O283" s="36">
        <v>3.17</v>
      </c>
      <c r="P283" s="38">
        <v>2.3199999999999998</v>
      </c>
      <c r="Q283" s="307">
        <v>2.19</v>
      </c>
      <c r="R283" s="36">
        <v>2.19</v>
      </c>
      <c r="S283" s="36">
        <v>0</v>
      </c>
      <c r="T283" s="36">
        <v>0.127</v>
      </c>
      <c r="U283" s="38">
        <v>46.6</v>
      </c>
      <c r="V283" s="307">
        <v>43.5</v>
      </c>
      <c r="W283" s="36">
        <v>43.5</v>
      </c>
      <c r="X283" s="36">
        <v>0</v>
      </c>
      <c r="Y283" s="36">
        <v>3.04</v>
      </c>
      <c r="Z283" s="86">
        <v>16.399999999999999</v>
      </c>
      <c r="AA283" s="82">
        <v>15.7</v>
      </c>
      <c r="AB283" s="52">
        <v>0.73299999999999998</v>
      </c>
      <c r="AC283" s="308">
        <v>0</v>
      </c>
      <c r="AD283" s="109" t="s">
        <v>284</v>
      </c>
      <c r="AE283" s="30" t="s">
        <v>2179</v>
      </c>
    </row>
    <row r="284" spans="1:31" s="305" customFormat="1" ht="14.25">
      <c r="A284" s="405" t="s">
        <v>2180</v>
      </c>
      <c r="B284" s="217" t="s">
        <v>2181</v>
      </c>
      <c r="C284" s="45" t="s">
        <v>2182</v>
      </c>
      <c r="D284" s="45" t="s">
        <v>2183</v>
      </c>
      <c r="E284" s="30" t="s">
        <v>2184</v>
      </c>
      <c r="F284" s="47">
        <v>73.5</v>
      </c>
      <c r="G284" s="47" t="s">
        <v>1019</v>
      </c>
      <c r="H284" s="33">
        <v>27200</v>
      </c>
      <c r="I284" s="85">
        <v>24100</v>
      </c>
      <c r="J284" s="34">
        <v>3120</v>
      </c>
      <c r="K284" s="38">
        <v>44.1</v>
      </c>
      <c r="L284" s="307">
        <v>40.1</v>
      </c>
      <c r="M284" s="39">
        <v>40.1</v>
      </c>
      <c r="N284" s="36">
        <v>0</v>
      </c>
      <c r="O284" s="36">
        <v>4.03</v>
      </c>
      <c r="P284" s="38">
        <v>2.35</v>
      </c>
      <c r="Q284" s="307">
        <v>2.19</v>
      </c>
      <c r="R284" s="36">
        <v>2.19</v>
      </c>
      <c r="S284" s="36">
        <v>0</v>
      </c>
      <c r="T284" s="36">
        <v>0.16200000000000001</v>
      </c>
      <c r="U284" s="38">
        <v>41.8</v>
      </c>
      <c r="V284" s="307">
        <v>37.9</v>
      </c>
      <c r="W284" s="36">
        <v>37.9</v>
      </c>
      <c r="X284" s="36">
        <v>0</v>
      </c>
      <c r="Y284" s="36">
        <v>3.87</v>
      </c>
      <c r="Z284" s="86">
        <v>16.399999999999999</v>
      </c>
      <c r="AA284" s="82">
        <v>15.4</v>
      </c>
      <c r="AB284" s="31">
        <v>0.93200000000000005</v>
      </c>
      <c r="AC284" s="308">
        <v>0</v>
      </c>
      <c r="AD284" s="109" t="s">
        <v>2185</v>
      </c>
      <c r="AE284" s="30" t="s">
        <v>2186</v>
      </c>
    </row>
    <row r="285" spans="1:31" s="305" customFormat="1" ht="14.25">
      <c r="A285" s="405" t="s">
        <v>2187</v>
      </c>
      <c r="B285" s="217" t="s">
        <v>2188</v>
      </c>
      <c r="C285" s="45" t="s">
        <v>2189</v>
      </c>
      <c r="D285" s="45" t="s">
        <v>2190</v>
      </c>
      <c r="E285" s="30" t="s">
        <v>2191</v>
      </c>
      <c r="F285" s="47">
        <v>3.36</v>
      </c>
      <c r="G285" s="47" t="s">
        <v>1019</v>
      </c>
      <c r="H285" s="33">
        <v>24200</v>
      </c>
      <c r="I285" s="85">
        <v>20400</v>
      </c>
      <c r="J285" s="34">
        <v>3750</v>
      </c>
      <c r="K285" s="38">
        <v>70.7</v>
      </c>
      <c r="L285" s="307">
        <v>69.7</v>
      </c>
      <c r="M285" s="39">
        <v>62.4</v>
      </c>
      <c r="N285" s="36">
        <v>7.3</v>
      </c>
      <c r="O285" s="36">
        <v>0.99099999999999999</v>
      </c>
      <c r="P285" s="38">
        <v>9.91</v>
      </c>
      <c r="Q285" s="307">
        <v>9.85</v>
      </c>
      <c r="R285" s="36">
        <v>9.85</v>
      </c>
      <c r="S285" s="36">
        <v>0</v>
      </c>
      <c r="T285" s="36">
        <v>6.6500000000000004E-2</v>
      </c>
      <c r="U285" s="38">
        <v>60.8</v>
      </c>
      <c r="V285" s="307">
        <v>59.8</v>
      </c>
      <c r="W285" s="36">
        <v>52.5</v>
      </c>
      <c r="X285" s="36">
        <v>7.3</v>
      </c>
      <c r="Y285" s="36">
        <v>0.92500000000000004</v>
      </c>
      <c r="Z285" s="86">
        <v>14.1</v>
      </c>
      <c r="AA285" s="82">
        <v>11</v>
      </c>
      <c r="AB285" s="73">
        <v>3.19</v>
      </c>
      <c r="AC285" s="308">
        <v>0</v>
      </c>
      <c r="AD285" s="109" t="s">
        <v>2192</v>
      </c>
      <c r="AE285" s="30" t="s">
        <v>2193</v>
      </c>
    </row>
    <row r="286" spans="1:31" s="305" customFormat="1" ht="14.25">
      <c r="A286" s="405" t="s">
        <v>850</v>
      </c>
      <c r="B286" s="217" t="s">
        <v>2194</v>
      </c>
      <c r="C286" s="45" t="s">
        <v>2195</v>
      </c>
      <c r="D286" s="45" t="s">
        <v>2196</v>
      </c>
      <c r="E286" s="30" t="s">
        <v>2197</v>
      </c>
      <c r="F286" s="47">
        <v>18</v>
      </c>
      <c r="G286" s="47" t="s">
        <v>1019</v>
      </c>
      <c r="H286" s="33">
        <v>86800</v>
      </c>
      <c r="I286" s="85">
        <v>73100</v>
      </c>
      <c r="J286" s="34">
        <v>13800</v>
      </c>
      <c r="K286" s="38">
        <v>87.6</v>
      </c>
      <c r="L286" s="307">
        <v>69.8</v>
      </c>
      <c r="M286" s="39">
        <v>69.8</v>
      </c>
      <c r="N286" s="39">
        <v>0</v>
      </c>
      <c r="O286" s="36">
        <v>17.8</v>
      </c>
      <c r="P286" s="38">
        <v>4.49</v>
      </c>
      <c r="Q286" s="307">
        <v>3.77</v>
      </c>
      <c r="R286" s="36">
        <v>3.77</v>
      </c>
      <c r="S286" s="36">
        <v>0</v>
      </c>
      <c r="T286" s="36">
        <v>0.71499999999999997</v>
      </c>
      <c r="U286" s="38">
        <v>83.1</v>
      </c>
      <c r="V286" s="307">
        <v>66</v>
      </c>
      <c r="W286" s="36">
        <v>66</v>
      </c>
      <c r="X286" s="36">
        <v>0</v>
      </c>
      <c r="Y286" s="36">
        <v>17</v>
      </c>
      <c r="Z286" s="86">
        <v>18.2</v>
      </c>
      <c r="AA286" s="82">
        <v>14</v>
      </c>
      <c r="AB286" s="31">
        <v>4.1100000000000003</v>
      </c>
      <c r="AC286" s="308">
        <v>0</v>
      </c>
      <c r="AD286" s="109" t="s">
        <v>282</v>
      </c>
      <c r="AE286" s="30" t="s">
        <v>2198</v>
      </c>
    </row>
    <row r="287" spans="1:31" s="305" customFormat="1" ht="14.25">
      <c r="A287" s="405" t="s">
        <v>2199</v>
      </c>
      <c r="B287" s="217" t="s">
        <v>2200</v>
      </c>
      <c r="C287" s="45" t="s">
        <v>2201</v>
      </c>
      <c r="D287" s="45" t="s">
        <v>2202</v>
      </c>
      <c r="E287" s="30" t="s">
        <v>2203</v>
      </c>
      <c r="F287" s="47">
        <v>7.8</v>
      </c>
      <c r="G287" s="47" t="s">
        <v>1019</v>
      </c>
      <c r="H287" s="33">
        <v>15500</v>
      </c>
      <c r="I287" s="85">
        <v>13400</v>
      </c>
      <c r="J287" s="34">
        <v>2130</v>
      </c>
      <c r="K287" s="38">
        <v>84.3</v>
      </c>
      <c r="L287" s="307">
        <v>82.9</v>
      </c>
      <c r="M287" s="39">
        <v>45.9</v>
      </c>
      <c r="N287" s="36">
        <v>37</v>
      </c>
      <c r="O287" s="36">
        <v>1.46</v>
      </c>
      <c r="P287" s="38">
        <v>39.200000000000003</v>
      </c>
      <c r="Q287" s="307">
        <v>39.1</v>
      </c>
      <c r="R287" s="36">
        <v>7.79</v>
      </c>
      <c r="S287" s="36">
        <v>31.3</v>
      </c>
      <c r="T287" s="36">
        <v>0.1</v>
      </c>
      <c r="U287" s="38">
        <v>45.2</v>
      </c>
      <c r="V287" s="307">
        <v>43.8</v>
      </c>
      <c r="W287" s="36">
        <v>38.1</v>
      </c>
      <c r="X287" s="36">
        <v>5.72</v>
      </c>
      <c r="Y287" s="36">
        <v>1.36</v>
      </c>
      <c r="Z287" s="72">
        <v>9.07</v>
      </c>
      <c r="AA287" s="77">
        <v>7.77</v>
      </c>
      <c r="AB287" s="73">
        <v>1.3</v>
      </c>
      <c r="AC287" s="308">
        <v>2.73</v>
      </c>
      <c r="AD287" s="109" t="s">
        <v>2204</v>
      </c>
      <c r="AE287" s="30" t="s">
        <v>2205</v>
      </c>
    </row>
    <row r="288" spans="1:31" s="305" customFormat="1" ht="14.25">
      <c r="A288" s="405" t="s">
        <v>2206</v>
      </c>
      <c r="B288" s="217" t="s">
        <v>2207</v>
      </c>
      <c r="C288" s="45" t="s">
        <v>2208</v>
      </c>
      <c r="D288" s="45" t="s">
        <v>2209</v>
      </c>
      <c r="E288" s="30" t="s">
        <v>2210</v>
      </c>
      <c r="F288" s="47">
        <v>2.7</v>
      </c>
      <c r="G288" s="47" t="s">
        <v>1019</v>
      </c>
      <c r="H288" s="33">
        <v>12000</v>
      </c>
      <c r="I288" s="85">
        <v>7890</v>
      </c>
      <c r="J288" s="34">
        <v>4060</v>
      </c>
      <c r="K288" s="38">
        <v>43.1</v>
      </c>
      <c r="L288" s="307">
        <v>41.6</v>
      </c>
      <c r="M288" s="39">
        <v>31.5</v>
      </c>
      <c r="N288" s="36">
        <v>10.1</v>
      </c>
      <c r="O288" s="36">
        <v>1.53</v>
      </c>
      <c r="P288" s="38">
        <v>8.39</v>
      </c>
      <c r="Q288" s="307">
        <v>8.2899999999999991</v>
      </c>
      <c r="R288" s="36">
        <v>2.6</v>
      </c>
      <c r="S288" s="36">
        <v>5.69</v>
      </c>
      <c r="T288" s="36">
        <v>9.7100000000000006E-2</v>
      </c>
      <c r="U288" s="38">
        <v>34.700000000000003</v>
      </c>
      <c r="V288" s="307">
        <v>33.299999999999997</v>
      </c>
      <c r="W288" s="36">
        <v>28.9</v>
      </c>
      <c r="X288" s="36">
        <v>4.37</v>
      </c>
      <c r="Y288" s="36">
        <v>1.43</v>
      </c>
      <c r="Z288" s="72">
        <v>8.2799999999999994</v>
      </c>
      <c r="AA288" s="77">
        <v>4.75</v>
      </c>
      <c r="AB288" s="73">
        <v>3.52</v>
      </c>
      <c r="AC288" s="308">
        <v>0.60399999999999998</v>
      </c>
      <c r="AD288" s="109" t="s">
        <v>2211</v>
      </c>
      <c r="AE288" s="30" t="s">
        <v>2212</v>
      </c>
    </row>
    <row r="289" spans="1:31" s="305" customFormat="1" ht="14.25">
      <c r="A289" s="405" t="s">
        <v>2213</v>
      </c>
      <c r="B289" s="217" t="s">
        <v>2214</v>
      </c>
      <c r="C289" s="45" t="s">
        <v>2215</v>
      </c>
      <c r="D289" s="30" t="s">
        <v>2202</v>
      </c>
      <c r="E289" s="30" t="s">
        <v>2203</v>
      </c>
      <c r="F289" s="47">
        <v>2.7</v>
      </c>
      <c r="G289" s="47" t="s">
        <v>1019</v>
      </c>
      <c r="H289" s="33">
        <v>5970</v>
      </c>
      <c r="I289" s="85">
        <v>3830</v>
      </c>
      <c r="J289" s="34">
        <v>2130</v>
      </c>
      <c r="K289" s="86">
        <v>24.4</v>
      </c>
      <c r="L289" s="307">
        <v>23</v>
      </c>
      <c r="M289" s="39">
        <v>15.5</v>
      </c>
      <c r="N289" s="36">
        <v>7.48</v>
      </c>
      <c r="O289" s="36">
        <v>1.46</v>
      </c>
      <c r="P289" s="86">
        <v>12.3</v>
      </c>
      <c r="Q289" s="307">
        <v>12.2</v>
      </c>
      <c r="R289" s="36">
        <v>4.75</v>
      </c>
      <c r="S289" s="36">
        <v>7.48</v>
      </c>
      <c r="T289" s="36">
        <v>0.1</v>
      </c>
      <c r="U289" s="86">
        <v>12.1</v>
      </c>
      <c r="V289" s="307">
        <v>10.7</v>
      </c>
      <c r="W289" s="36">
        <v>10.7</v>
      </c>
      <c r="X289" s="36">
        <v>0</v>
      </c>
      <c r="Y289" s="36">
        <v>1.36</v>
      </c>
      <c r="Z289" s="72">
        <v>3.26</v>
      </c>
      <c r="AA289" s="77">
        <v>1.96</v>
      </c>
      <c r="AB289" s="31">
        <v>1.3</v>
      </c>
      <c r="AC289" s="308">
        <v>0.92100000000000004</v>
      </c>
      <c r="AD289" s="109" t="s">
        <v>2216</v>
      </c>
      <c r="AE289" s="30" t="s">
        <v>2205</v>
      </c>
    </row>
    <row r="290" spans="1:31" s="305" customFormat="1" ht="14.25">
      <c r="A290" s="405" t="s">
        <v>2217</v>
      </c>
      <c r="B290" s="217" t="s">
        <v>2218</v>
      </c>
      <c r="C290" s="45" t="s">
        <v>2219</v>
      </c>
      <c r="D290" s="30" t="s">
        <v>2220</v>
      </c>
      <c r="E290" s="30" t="s">
        <v>2221</v>
      </c>
      <c r="F290" s="47">
        <v>21.5</v>
      </c>
      <c r="G290" s="47" t="s">
        <v>1019</v>
      </c>
      <c r="H290" s="33">
        <v>25700</v>
      </c>
      <c r="I290" s="85">
        <v>6100</v>
      </c>
      <c r="J290" s="34">
        <v>19600</v>
      </c>
      <c r="K290" s="86">
        <v>32.1</v>
      </c>
      <c r="L290" s="307">
        <v>6.8</v>
      </c>
      <c r="M290" s="39">
        <v>6.8</v>
      </c>
      <c r="N290" s="36">
        <v>0</v>
      </c>
      <c r="O290" s="36">
        <v>25.3</v>
      </c>
      <c r="P290" s="86">
        <v>1.78</v>
      </c>
      <c r="Q290" s="307">
        <v>0.76200000000000001</v>
      </c>
      <c r="R290" s="36">
        <v>0.76200000000000001</v>
      </c>
      <c r="S290" s="36">
        <v>0</v>
      </c>
      <c r="T290" s="36">
        <v>1.02</v>
      </c>
      <c r="U290" s="86">
        <v>30.4</v>
      </c>
      <c r="V290" s="307">
        <v>6.04</v>
      </c>
      <c r="W290" s="36">
        <v>6.04</v>
      </c>
      <c r="X290" s="36">
        <v>0</v>
      </c>
      <c r="Y290" s="36">
        <v>24.3</v>
      </c>
      <c r="Z290" s="72">
        <v>10.4</v>
      </c>
      <c r="AA290" s="77">
        <v>4.51</v>
      </c>
      <c r="AB290" s="31">
        <v>5.86</v>
      </c>
      <c r="AC290" s="308">
        <v>0</v>
      </c>
      <c r="AD290" s="109" t="s">
        <v>2222</v>
      </c>
      <c r="AE290" s="30" t="s">
        <v>2223</v>
      </c>
    </row>
    <row r="291" spans="1:31" s="305" customFormat="1" ht="14.25">
      <c r="A291" s="405" t="s">
        <v>2224</v>
      </c>
      <c r="B291" s="217" t="s">
        <v>2225</v>
      </c>
      <c r="C291" s="45" t="s">
        <v>2226</v>
      </c>
      <c r="D291" s="45" t="s">
        <v>2227</v>
      </c>
      <c r="E291" s="30" t="s">
        <v>2228</v>
      </c>
      <c r="F291" s="47">
        <v>8.5</v>
      </c>
      <c r="G291" s="47" t="s">
        <v>1019</v>
      </c>
      <c r="H291" s="33">
        <v>16600</v>
      </c>
      <c r="I291" s="85">
        <v>13600</v>
      </c>
      <c r="J291" s="34">
        <v>2970</v>
      </c>
      <c r="K291" s="38">
        <v>81</v>
      </c>
      <c r="L291" s="307">
        <v>79.5</v>
      </c>
      <c r="M291" s="39">
        <v>31</v>
      </c>
      <c r="N291" s="36">
        <v>48.5</v>
      </c>
      <c r="O291" s="36">
        <v>1.56</v>
      </c>
      <c r="P291" s="38">
        <v>38.299999999999997</v>
      </c>
      <c r="Q291" s="307">
        <v>38.200000000000003</v>
      </c>
      <c r="R291" s="36">
        <v>2.77</v>
      </c>
      <c r="S291" s="36">
        <v>35.4</v>
      </c>
      <c r="T291" s="36">
        <v>0.108</v>
      </c>
      <c r="U291" s="38">
        <v>42.7</v>
      </c>
      <c r="V291" s="307">
        <v>41.3</v>
      </c>
      <c r="W291" s="36">
        <v>28.2</v>
      </c>
      <c r="X291" s="36">
        <v>13.1</v>
      </c>
      <c r="Y291" s="36">
        <v>1.45</v>
      </c>
      <c r="Z291" s="72">
        <v>10.4</v>
      </c>
      <c r="AA291" s="77">
        <v>8.1</v>
      </c>
      <c r="AB291" s="52">
        <v>2.2999999999999998</v>
      </c>
      <c r="AC291" s="308">
        <v>2.42</v>
      </c>
      <c r="AD291" s="109" t="s">
        <v>2229</v>
      </c>
      <c r="AE291" s="30" t="s">
        <v>2230</v>
      </c>
    </row>
    <row r="292" spans="1:31" s="305" customFormat="1" ht="14.25">
      <c r="A292" s="405" t="s">
        <v>841</v>
      </c>
      <c r="B292" s="217" t="s">
        <v>2231</v>
      </c>
      <c r="C292" s="45" t="s">
        <v>2232</v>
      </c>
      <c r="D292" s="45" t="s">
        <v>2233</v>
      </c>
      <c r="E292" s="30" t="s">
        <v>2234</v>
      </c>
      <c r="F292" s="47">
        <v>2.9</v>
      </c>
      <c r="G292" s="47" t="s">
        <v>1019</v>
      </c>
      <c r="H292" s="33">
        <v>15800</v>
      </c>
      <c r="I292" s="34">
        <v>15100</v>
      </c>
      <c r="J292" s="34">
        <v>728</v>
      </c>
      <c r="K292" s="38">
        <v>45.6</v>
      </c>
      <c r="L292" s="36">
        <v>45.2</v>
      </c>
      <c r="M292" s="39">
        <v>34.9</v>
      </c>
      <c r="N292" s="36">
        <v>10.3</v>
      </c>
      <c r="O292" s="36">
        <v>0.47299999999999998</v>
      </c>
      <c r="P292" s="38">
        <v>19.3</v>
      </c>
      <c r="Q292" s="36">
        <v>19.3</v>
      </c>
      <c r="R292" s="36">
        <v>9.01</v>
      </c>
      <c r="S292" s="36">
        <v>10.3</v>
      </c>
      <c r="T292" s="36">
        <v>3.6200000000000003E-2</v>
      </c>
      <c r="U292" s="86">
        <v>26.3</v>
      </c>
      <c r="V292" s="36">
        <v>25.9</v>
      </c>
      <c r="W292" s="36">
        <v>25.9</v>
      </c>
      <c r="X292" s="36">
        <v>0</v>
      </c>
      <c r="Y292" s="36">
        <v>0.437</v>
      </c>
      <c r="Z292" s="72">
        <v>6.36</v>
      </c>
      <c r="AA292" s="73">
        <v>5.84</v>
      </c>
      <c r="AB292" s="31">
        <v>0.51600000000000001</v>
      </c>
      <c r="AC292" s="308">
        <v>0.78600000000000003</v>
      </c>
      <c r="AD292" s="109" t="s">
        <v>2235</v>
      </c>
      <c r="AE292" s="30" t="s">
        <v>2236</v>
      </c>
    </row>
    <row r="293" spans="1:31" s="305" customFormat="1" ht="14.25">
      <c r="A293" s="405" t="s">
        <v>2237</v>
      </c>
      <c r="B293" s="217" t="s">
        <v>2238</v>
      </c>
      <c r="C293" s="45" t="s">
        <v>2239</v>
      </c>
      <c r="D293" s="30" t="s">
        <v>2240</v>
      </c>
      <c r="E293" s="30" t="s">
        <v>2241</v>
      </c>
      <c r="F293" s="47">
        <v>40.5</v>
      </c>
      <c r="G293" s="47" t="s">
        <v>1019</v>
      </c>
      <c r="H293" s="33">
        <v>41900</v>
      </c>
      <c r="I293" s="85">
        <v>40200</v>
      </c>
      <c r="J293" s="34">
        <v>1720</v>
      </c>
      <c r="K293" s="38">
        <v>138</v>
      </c>
      <c r="L293" s="307">
        <v>136</v>
      </c>
      <c r="M293" s="39">
        <v>136</v>
      </c>
      <c r="N293" s="39">
        <v>0</v>
      </c>
      <c r="O293" s="36">
        <v>2.2200000000000002</v>
      </c>
      <c r="P293" s="38">
        <v>19.8</v>
      </c>
      <c r="Q293" s="307">
        <v>19.7</v>
      </c>
      <c r="R293" s="36">
        <v>19.7</v>
      </c>
      <c r="S293" s="36">
        <v>0</v>
      </c>
      <c r="T293" s="36">
        <v>8.9300000000000004E-2</v>
      </c>
      <c r="U293" s="38">
        <v>118</v>
      </c>
      <c r="V293" s="307">
        <v>116</v>
      </c>
      <c r="W293" s="36">
        <v>116</v>
      </c>
      <c r="X293" s="36">
        <v>0</v>
      </c>
      <c r="Y293" s="36">
        <v>2.13</v>
      </c>
      <c r="Z293" s="86">
        <v>16.8</v>
      </c>
      <c r="AA293" s="82">
        <v>16.3</v>
      </c>
      <c r="AB293" s="31">
        <v>0.51400000000000001</v>
      </c>
      <c r="AC293" s="308">
        <v>0</v>
      </c>
      <c r="AD293" s="109" t="s">
        <v>2242</v>
      </c>
      <c r="AE293" s="30" t="s">
        <v>2243</v>
      </c>
    </row>
    <row r="294" spans="1:31" s="305" customFormat="1" ht="12.75" customHeight="1" outlineLevel="1">
      <c r="A294" s="402" t="s">
        <v>2244</v>
      </c>
      <c r="B294" s="60" t="s">
        <v>2245</v>
      </c>
      <c r="C294" s="94" t="s">
        <v>2246</v>
      </c>
      <c r="D294" s="60" t="s">
        <v>2240</v>
      </c>
      <c r="E294" s="60" t="s">
        <v>2241</v>
      </c>
      <c r="F294" s="97">
        <v>40.5</v>
      </c>
      <c r="G294" s="97" t="s">
        <v>1019</v>
      </c>
      <c r="H294" s="110">
        <v>40700</v>
      </c>
      <c r="I294" s="108">
        <v>39000</v>
      </c>
      <c r="J294" s="105">
        <v>1720</v>
      </c>
      <c r="K294" s="69">
        <v>137</v>
      </c>
      <c r="L294" s="319">
        <v>135</v>
      </c>
      <c r="M294" s="107">
        <v>135</v>
      </c>
      <c r="N294" s="107">
        <v>0</v>
      </c>
      <c r="O294" s="107">
        <v>2.2200000000000002</v>
      </c>
      <c r="P294" s="69">
        <v>19.899999999999999</v>
      </c>
      <c r="Q294" s="319">
        <v>19.8</v>
      </c>
      <c r="R294" s="107">
        <v>19.8</v>
      </c>
      <c r="S294" s="107">
        <v>0</v>
      </c>
      <c r="T294" s="107">
        <v>8.9300000000000004E-2</v>
      </c>
      <c r="U294" s="69">
        <v>117</v>
      </c>
      <c r="V294" s="319">
        <v>115</v>
      </c>
      <c r="W294" s="107">
        <v>115</v>
      </c>
      <c r="X294" s="107">
        <v>0</v>
      </c>
      <c r="Y294" s="107">
        <v>2.13</v>
      </c>
      <c r="Z294" s="111">
        <v>16.600000000000001</v>
      </c>
      <c r="AA294" s="102">
        <v>16.100000000000001</v>
      </c>
      <c r="AB294" s="106">
        <v>0.51400000000000001</v>
      </c>
      <c r="AC294" s="350">
        <v>0</v>
      </c>
      <c r="AD294" s="375" t="s">
        <v>2247</v>
      </c>
      <c r="AE294" s="60" t="s">
        <v>2243</v>
      </c>
    </row>
    <row r="295" spans="1:31" s="305" customFormat="1" ht="12.75" customHeight="1" outlineLevel="1">
      <c r="A295" s="402" t="s">
        <v>2248</v>
      </c>
      <c r="B295" s="60" t="s">
        <v>2249</v>
      </c>
      <c r="C295" s="94" t="s">
        <v>2250</v>
      </c>
      <c r="D295" s="60" t="s">
        <v>2240</v>
      </c>
      <c r="E295" s="60" t="s">
        <v>2241</v>
      </c>
      <c r="F295" s="97">
        <v>40.5</v>
      </c>
      <c r="G295" s="97" t="s">
        <v>1019</v>
      </c>
      <c r="H295" s="110">
        <v>34800</v>
      </c>
      <c r="I295" s="108">
        <v>33100</v>
      </c>
      <c r="J295" s="105">
        <v>1720</v>
      </c>
      <c r="K295" s="69">
        <v>123</v>
      </c>
      <c r="L295" s="319">
        <v>121</v>
      </c>
      <c r="M295" s="107">
        <v>121</v>
      </c>
      <c r="N295" s="107">
        <v>0</v>
      </c>
      <c r="O295" s="107">
        <v>2.2200000000000002</v>
      </c>
      <c r="P295" s="69">
        <v>19.2</v>
      </c>
      <c r="Q295" s="319">
        <v>19.100000000000001</v>
      </c>
      <c r="R295" s="107">
        <v>19.100000000000001</v>
      </c>
      <c r="S295" s="107">
        <v>0</v>
      </c>
      <c r="T295" s="107">
        <v>8.9300000000000004E-2</v>
      </c>
      <c r="U295" s="69">
        <v>104</v>
      </c>
      <c r="V295" s="319">
        <v>102</v>
      </c>
      <c r="W295" s="107">
        <v>102</v>
      </c>
      <c r="X295" s="107">
        <v>0</v>
      </c>
      <c r="Y295" s="107">
        <v>2.13</v>
      </c>
      <c r="Z295" s="111">
        <v>13.4</v>
      </c>
      <c r="AA295" s="102">
        <v>12.8</v>
      </c>
      <c r="AB295" s="106">
        <v>0.51400000000000001</v>
      </c>
      <c r="AC295" s="350">
        <v>0</v>
      </c>
      <c r="AD295" s="375" t="s">
        <v>2251</v>
      </c>
      <c r="AE295" s="60" t="s">
        <v>2243</v>
      </c>
    </row>
    <row r="296" spans="1:31" s="305" customFormat="1" ht="12.75" customHeight="1" outlineLevel="1">
      <c r="A296" s="402" t="s">
        <v>2252</v>
      </c>
      <c r="B296" s="60" t="s">
        <v>2253</v>
      </c>
      <c r="C296" s="94" t="s">
        <v>2254</v>
      </c>
      <c r="D296" s="60" t="s">
        <v>2240</v>
      </c>
      <c r="E296" s="60" t="s">
        <v>2241</v>
      </c>
      <c r="F296" s="97">
        <v>40.5</v>
      </c>
      <c r="G296" s="97" t="s">
        <v>1019</v>
      </c>
      <c r="H296" s="110">
        <v>44500</v>
      </c>
      <c r="I296" s="108">
        <v>42800</v>
      </c>
      <c r="J296" s="105">
        <v>1720</v>
      </c>
      <c r="K296" s="69">
        <v>142</v>
      </c>
      <c r="L296" s="319">
        <v>140</v>
      </c>
      <c r="M296" s="107">
        <v>140</v>
      </c>
      <c r="N296" s="107">
        <v>0</v>
      </c>
      <c r="O296" s="107">
        <v>2.2200000000000002</v>
      </c>
      <c r="P296" s="69">
        <v>19.899999999999999</v>
      </c>
      <c r="Q296" s="319">
        <v>19.8</v>
      </c>
      <c r="R296" s="107">
        <v>19.8</v>
      </c>
      <c r="S296" s="107">
        <v>0</v>
      </c>
      <c r="T296" s="107">
        <v>8.9300000000000004E-2</v>
      </c>
      <c r="U296" s="69">
        <v>122</v>
      </c>
      <c r="V296" s="319">
        <v>120</v>
      </c>
      <c r="W296" s="107">
        <v>120</v>
      </c>
      <c r="X296" s="107">
        <v>0</v>
      </c>
      <c r="Y296" s="107">
        <v>2.13</v>
      </c>
      <c r="Z296" s="111">
        <v>17.899999999999999</v>
      </c>
      <c r="AA296" s="102">
        <v>17.399999999999999</v>
      </c>
      <c r="AB296" s="106">
        <v>0.51400000000000001</v>
      </c>
      <c r="AC296" s="350">
        <v>0</v>
      </c>
      <c r="AD296" s="375" t="s">
        <v>2255</v>
      </c>
      <c r="AE296" s="60" t="s">
        <v>2243</v>
      </c>
    </row>
    <row r="297" spans="1:31" s="305" customFormat="1" ht="14.25" customHeight="1">
      <c r="A297" s="405" t="s">
        <v>2256</v>
      </c>
      <c r="B297" s="217" t="s">
        <v>2257</v>
      </c>
      <c r="C297" s="45" t="s">
        <v>2258</v>
      </c>
      <c r="D297" s="30" t="s">
        <v>2240</v>
      </c>
      <c r="E297" s="30" t="s">
        <v>2241</v>
      </c>
      <c r="F297" s="47">
        <v>40.5</v>
      </c>
      <c r="G297" s="47" t="s">
        <v>1019</v>
      </c>
      <c r="H297" s="33">
        <v>32000</v>
      </c>
      <c r="I297" s="85">
        <v>30200</v>
      </c>
      <c r="J297" s="34">
        <v>1720</v>
      </c>
      <c r="K297" s="38">
        <v>101</v>
      </c>
      <c r="L297" s="307">
        <v>98.9</v>
      </c>
      <c r="M297" s="39">
        <v>98.9</v>
      </c>
      <c r="N297" s="39">
        <v>0</v>
      </c>
      <c r="O297" s="36">
        <v>2.2200000000000002</v>
      </c>
      <c r="P297" s="38">
        <v>13.5</v>
      </c>
      <c r="Q297" s="307">
        <v>13.4</v>
      </c>
      <c r="R297" s="36">
        <v>13.4</v>
      </c>
      <c r="S297" s="36">
        <v>0</v>
      </c>
      <c r="T297" s="36">
        <v>8.9300000000000004E-2</v>
      </c>
      <c r="U297" s="38">
        <v>87.6</v>
      </c>
      <c r="V297" s="307">
        <v>85.5</v>
      </c>
      <c r="W297" s="36">
        <v>85.5</v>
      </c>
      <c r="X297" s="36">
        <v>0</v>
      </c>
      <c r="Y297" s="36">
        <v>2.13</v>
      </c>
      <c r="Z297" s="72">
        <v>13.4</v>
      </c>
      <c r="AA297" s="77">
        <v>12.9</v>
      </c>
      <c r="AB297" s="31">
        <v>0.51400000000000001</v>
      </c>
      <c r="AC297" s="308">
        <v>0</v>
      </c>
      <c r="AD297" s="109" t="s">
        <v>2259</v>
      </c>
      <c r="AE297" s="30" t="s">
        <v>2243</v>
      </c>
    </row>
    <row r="298" spans="1:31" s="305" customFormat="1" ht="14.25" customHeight="1">
      <c r="A298" s="405" t="s">
        <v>2260</v>
      </c>
      <c r="B298" s="217" t="s">
        <v>2261</v>
      </c>
      <c r="C298" s="45" t="s">
        <v>2262</v>
      </c>
      <c r="D298" s="30" t="s">
        <v>2240</v>
      </c>
      <c r="E298" s="30" t="s">
        <v>2241</v>
      </c>
      <c r="F298" s="47">
        <v>40.5</v>
      </c>
      <c r="G298" s="47" t="s">
        <v>1019</v>
      </c>
      <c r="H298" s="33">
        <v>69700</v>
      </c>
      <c r="I298" s="85">
        <v>68000</v>
      </c>
      <c r="J298" s="34">
        <v>1720</v>
      </c>
      <c r="K298" s="38">
        <v>169</v>
      </c>
      <c r="L298" s="307">
        <v>167</v>
      </c>
      <c r="M298" s="39">
        <v>167</v>
      </c>
      <c r="N298" s="39">
        <v>0</v>
      </c>
      <c r="O298" s="36">
        <v>2.2200000000000002</v>
      </c>
      <c r="P298" s="38">
        <v>25.2</v>
      </c>
      <c r="Q298" s="307">
        <v>25.1</v>
      </c>
      <c r="R298" s="36">
        <v>25.1</v>
      </c>
      <c r="S298" s="36">
        <v>0</v>
      </c>
      <c r="T298" s="36">
        <v>8.9300000000000004E-2</v>
      </c>
      <c r="U298" s="38">
        <v>144</v>
      </c>
      <c r="V298" s="307">
        <v>142</v>
      </c>
      <c r="W298" s="36">
        <v>142</v>
      </c>
      <c r="X298" s="36">
        <v>0</v>
      </c>
      <c r="Y298" s="36">
        <v>2.13</v>
      </c>
      <c r="Z298" s="86">
        <v>19.600000000000001</v>
      </c>
      <c r="AA298" s="82">
        <v>19.100000000000001</v>
      </c>
      <c r="AB298" s="31">
        <v>0.51400000000000001</v>
      </c>
      <c r="AC298" s="308">
        <v>0</v>
      </c>
      <c r="AD298" s="109" t="s">
        <v>2263</v>
      </c>
      <c r="AE298" s="30" t="s">
        <v>2243</v>
      </c>
    </row>
    <row r="299" spans="1:31" s="305" customFormat="1" ht="14.25">
      <c r="A299" s="405" t="s">
        <v>846</v>
      </c>
      <c r="B299" s="217" t="s">
        <v>2264</v>
      </c>
      <c r="C299" s="45" t="s">
        <v>2265</v>
      </c>
      <c r="D299" s="45" t="s">
        <v>2266</v>
      </c>
      <c r="E299" s="30" t="s">
        <v>2267</v>
      </c>
      <c r="F299" s="47">
        <v>6.1</v>
      </c>
      <c r="G299" s="47" t="s">
        <v>1019</v>
      </c>
      <c r="H299" s="33">
        <v>16100</v>
      </c>
      <c r="I299" s="85">
        <v>15600</v>
      </c>
      <c r="J299" s="34">
        <v>490</v>
      </c>
      <c r="K299" s="38">
        <v>130</v>
      </c>
      <c r="L299" s="307">
        <v>129</v>
      </c>
      <c r="M299" s="39">
        <v>99</v>
      </c>
      <c r="N299" s="36">
        <v>30.3</v>
      </c>
      <c r="O299" s="36">
        <v>0.60099999999999998</v>
      </c>
      <c r="P299" s="38">
        <v>87.7</v>
      </c>
      <c r="Q299" s="307">
        <v>87.6</v>
      </c>
      <c r="R299" s="36">
        <v>58.5</v>
      </c>
      <c r="S299" s="36">
        <v>29.2</v>
      </c>
      <c r="T299" s="36">
        <v>3.7600000000000001E-2</v>
      </c>
      <c r="U299" s="38">
        <v>42.3</v>
      </c>
      <c r="V299" s="307">
        <v>41.7</v>
      </c>
      <c r="W299" s="36">
        <v>40.5</v>
      </c>
      <c r="X299" s="36">
        <v>1.18</v>
      </c>
      <c r="Y299" s="36">
        <v>0.56299999999999994</v>
      </c>
      <c r="Z299" s="86">
        <v>7.8</v>
      </c>
      <c r="AA299" s="77">
        <v>7.47</v>
      </c>
      <c r="AB299" s="73">
        <v>0.33700000000000002</v>
      </c>
      <c r="AC299" s="308">
        <v>2.69</v>
      </c>
      <c r="AD299" s="109" t="s">
        <v>281</v>
      </c>
      <c r="AE299" s="30" t="s">
        <v>2268</v>
      </c>
    </row>
    <row r="300" spans="1:31" s="305" customFormat="1" ht="14.25">
      <c r="A300" s="405" t="s">
        <v>2269</v>
      </c>
      <c r="B300" s="217" t="s">
        <v>2270</v>
      </c>
      <c r="C300" s="45" t="s">
        <v>2271</v>
      </c>
      <c r="D300" s="45" t="s">
        <v>2272</v>
      </c>
      <c r="E300" s="30" t="s">
        <v>2273</v>
      </c>
      <c r="F300" s="47">
        <v>7.9</v>
      </c>
      <c r="G300" s="47" t="s">
        <v>1019</v>
      </c>
      <c r="H300" s="33">
        <v>18100</v>
      </c>
      <c r="I300" s="85">
        <v>17500</v>
      </c>
      <c r="J300" s="34">
        <v>635</v>
      </c>
      <c r="K300" s="38">
        <v>186</v>
      </c>
      <c r="L300" s="307">
        <v>185</v>
      </c>
      <c r="M300" s="39">
        <v>145</v>
      </c>
      <c r="N300" s="36">
        <v>39.5</v>
      </c>
      <c r="O300" s="36">
        <v>0.77800000000000002</v>
      </c>
      <c r="P300" s="38">
        <v>145</v>
      </c>
      <c r="Q300" s="307">
        <v>145</v>
      </c>
      <c r="R300" s="36">
        <v>107</v>
      </c>
      <c r="S300" s="36">
        <v>38.799999999999997</v>
      </c>
      <c r="T300" s="36">
        <v>4.87E-2</v>
      </c>
      <c r="U300" s="38">
        <v>40.299999999999997</v>
      </c>
      <c r="V300" s="307">
        <v>39.6</v>
      </c>
      <c r="W300" s="36">
        <v>38.9</v>
      </c>
      <c r="X300" s="36">
        <v>0.68100000000000005</v>
      </c>
      <c r="Y300" s="36">
        <v>0.72899999999999998</v>
      </c>
      <c r="Z300" s="86">
        <v>8.09</v>
      </c>
      <c r="AA300" s="77">
        <v>7.65</v>
      </c>
      <c r="AB300" s="73">
        <v>0.437</v>
      </c>
      <c r="AC300" s="308">
        <v>3.54</v>
      </c>
      <c r="AD300" s="109" t="s">
        <v>2274</v>
      </c>
      <c r="AE300" s="30" t="s">
        <v>2275</v>
      </c>
    </row>
    <row r="301" spans="1:31" s="305" customFormat="1" ht="14.25">
      <c r="A301" s="405" t="s">
        <v>2276</v>
      </c>
      <c r="B301" s="217" t="s">
        <v>2277</v>
      </c>
      <c r="C301" s="45" t="s">
        <v>2278</v>
      </c>
      <c r="D301" s="45" t="s">
        <v>2279</v>
      </c>
      <c r="E301" s="30" t="s">
        <v>2280</v>
      </c>
      <c r="F301" s="47">
        <v>5.6</v>
      </c>
      <c r="G301" s="47" t="s">
        <v>1019</v>
      </c>
      <c r="H301" s="33">
        <v>9020</v>
      </c>
      <c r="I301" s="85">
        <v>8670</v>
      </c>
      <c r="J301" s="34">
        <v>352</v>
      </c>
      <c r="K301" s="38">
        <v>113</v>
      </c>
      <c r="L301" s="307">
        <v>113</v>
      </c>
      <c r="M301" s="39">
        <v>88</v>
      </c>
      <c r="N301" s="36">
        <v>24.7</v>
      </c>
      <c r="O301" s="36">
        <v>0.53100000000000003</v>
      </c>
      <c r="P301" s="38">
        <v>90</v>
      </c>
      <c r="Q301" s="307">
        <v>89.9</v>
      </c>
      <c r="R301" s="36">
        <v>65.2</v>
      </c>
      <c r="S301" s="36">
        <v>24.7</v>
      </c>
      <c r="T301" s="36">
        <v>3.4299999999999997E-2</v>
      </c>
      <c r="U301" s="38">
        <v>23.3</v>
      </c>
      <c r="V301" s="307">
        <v>22.8</v>
      </c>
      <c r="W301" s="36">
        <v>22.8</v>
      </c>
      <c r="X301" s="36">
        <v>0</v>
      </c>
      <c r="Y301" s="36">
        <v>0.497</v>
      </c>
      <c r="Z301" s="86">
        <v>3.57</v>
      </c>
      <c r="AA301" s="77">
        <v>3.35</v>
      </c>
      <c r="AB301" s="73">
        <v>0.218</v>
      </c>
      <c r="AC301" s="308">
        <v>2.23</v>
      </c>
      <c r="AD301" s="109" t="s">
        <v>2281</v>
      </c>
      <c r="AE301" s="30" t="s">
        <v>2282</v>
      </c>
    </row>
    <row r="302" spans="1:31" s="305" customFormat="1" ht="14.25">
      <c r="A302" s="405" t="s">
        <v>2283</v>
      </c>
      <c r="B302" s="217" t="s">
        <v>2284</v>
      </c>
      <c r="C302" s="45" t="s">
        <v>2285</v>
      </c>
      <c r="D302" s="45" t="s">
        <v>2286</v>
      </c>
      <c r="E302" s="30" t="s">
        <v>2287</v>
      </c>
      <c r="F302" s="47">
        <v>3.1</v>
      </c>
      <c r="G302" s="47" t="s">
        <v>1019</v>
      </c>
      <c r="H302" s="33">
        <v>20600</v>
      </c>
      <c r="I302" s="85">
        <v>13500</v>
      </c>
      <c r="J302" s="34">
        <v>7140</v>
      </c>
      <c r="K302" s="38">
        <v>60.5</v>
      </c>
      <c r="L302" s="307">
        <v>57</v>
      </c>
      <c r="M302" s="39">
        <v>48.5</v>
      </c>
      <c r="N302" s="36">
        <v>8.43</v>
      </c>
      <c r="O302" s="36">
        <v>3.5</v>
      </c>
      <c r="P302" s="38">
        <v>2.29</v>
      </c>
      <c r="Q302" s="307">
        <v>1.98</v>
      </c>
      <c r="R302" s="36">
        <v>1.98</v>
      </c>
      <c r="S302" s="36">
        <v>0</v>
      </c>
      <c r="T302" s="36">
        <v>0.30299999999999999</v>
      </c>
      <c r="U302" s="38">
        <v>58.2</v>
      </c>
      <c r="V302" s="307">
        <v>55</v>
      </c>
      <c r="W302" s="36">
        <v>46.6</v>
      </c>
      <c r="X302" s="36">
        <v>8.43</v>
      </c>
      <c r="Y302" s="36">
        <v>3.19</v>
      </c>
      <c r="Z302" s="86">
        <v>14.4</v>
      </c>
      <c r="AA302" s="77">
        <v>8.16</v>
      </c>
      <c r="AB302" s="73">
        <v>6.22</v>
      </c>
      <c r="AC302" s="308">
        <v>0</v>
      </c>
      <c r="AD302" s="109" t="s">
        <v>2288</v>
      </c>
      <c r="AE302" s="30" t="s">
        <v>2289</v>
      </c>
    </row>
    <row r="303" spans="1:31" s="305" customFormat="1" ht="14.25">
      <c r="A303" s="405" t="s">
        <v>2290</v>
      </c>
      <c r="B303" s="217" t="s">
        <v>2291</v>
      </c>
      <c r="C303" s="45" t="s">
        <v>2292</v>
      </c>
      <c r="D303" s="45" t="s">
        <v>2293</v>
      </c>
      <c r="E303" s="30" t="s">
        <v>2294</v>
      </c>
      <c r="F303" s="47">
        <v>22</v>
      </c>
      <c r="G303" s="47" t="s">
        <v>1019</v>
      </c>
      <c r="H303" s="33">
        <v>16400</v>
      </c>
      <c r="I303" s="85">
        <v>15400</v>
      </c>
      <c r="J303" s="34">
        <v>935</v>
      </c>
      <c r="K303" s="86">
        <v>26.1</v>
      </c>
      <c r="L303" s="307">
        <v>24.9</v>
      </c>
      <c r="M303" s="39">
        <v>24.9</v>
      </c>
      <c r="N303" s="36">
        <v>0</v>
      </c>
      <c r="O303" s="36">
        <v>1.21</v>
      </c>
      <c r="P303" s="86">
        <v>0.99</v>
      </c>
      <c r="Q303" s="307">
        <v>0.94199999999999995</v>
      </c>
      <c r="R303" s="36">
        <v>0.94199999999999995</v>
      </c>
      <c r="S303" s="36">
        <v>0</v>
      </c>
      <c r="T303" s="36">
        <v>4.8500000000000001E-2</v>
      </c>
      <c r="U303" s="86">
        <v>25.1</v>
      </c>
      <c r="V303" s="307">
        <v>24</v>
      </c>
      <c r="W303" s="36">
        <v>24</v>
      </c>
      <c r="X303" s="36">
        <v>0</v>
      </c>
      <c r="Y303" s="36">
        <v>1.1599999999999999</v>
      </c>
      <c r="Z303" s="86">
        <v>12.9</v>
      </c>
      <c r="AA303" s="82">
        <v>12.7</v>
      </c>
      <c r="AB303" s="31">
        <v>0.27900000000000003</v>
      </c>
      <c r="AC303" s="308">
        <v>0</v>
      </c>
      <c r="AD303" s="109" t="s">
        <v>2295</v>
      </c>
      <c r="AE303" s="30" t="s">
        <v>2296</v>
      </c>
    </row>
    <row r="304" spans="1:31" s="305" customFormat="1" ht="14.25">
      <c r="A304" s="405" t="s">
        <v>2297</v>
      </c>
      <c r="B304" s="217" t="s">
        <v>2298</v>
      </c>
      <c r="C304" s="45" t="s">
        <v>2299</v>
      </c>
      <c r="D304" s="45" t="s">
        <v>2300</v>
      </c>
      <c r="E304" s="30" t="s">
        <v>2301</v>
      </c>
      <c r="F304" s="47">
        <v>3.4</v>
      </c>
      <c r="G304" s="47" t="s">
        <v>1019</v>
      </c>
      <c r="H304" s="33">
        <v>20000</v>
      </c>
      <c r="I304" s="85">
        <v>9510</v>
      </c>
      <c r="J304" s="34">
        <v>10400</v>
      </c>
      <c r="K304" s="38">
        <v>46.5</v>
      </c>
      <c r="L304" s="307">
        <v>45.8</v>
      </c>
      <c r="M304" s="39">
        <v>33.4</v>
      </c>
      <c r="N304" s="36">
        <v>12.4</v>
      </c>
      <c r="O304" s="36">
        <v>0.66800000000000004</v>
      </c>
      <c r="P304" s="38">
        <v>3.22</v>
      </c>
      <c r="Q304" s="307">
        <v>3.19</v>
      </c>
      <c r="R304" s="36">
        <v>3.19</v>
      </c>
      <c r="S304" s="36">
        <v>0</v>
      </c>
      <c r="T304" s="36">
        <v>3.0300000000000001E-2</v>
      </c>
      <c r="U304" s="38">
        <v>43.3</v>
      </c>
      <c r="V304" s="307">
        <v>42.6</v>
      </c>
      <c r="W304" s="36">
        <v>30.2</v>
      </c>
      <c r="X304" s="36">
        <v>12.4</v>
      </c>
      <c r="Y304" s="36">
        <v>0.63800000000000001</v>
      </c>
      <c r="Z304" s="86">
        <v>16</v>
      </c>
      <c r="AA304" s="77">
        <v>5.87</v>
      </c>
      <c r="AB304" s="73">
        <v>10.1</v>
      </c>
      <c r="AC304" s="308">
        <v>0</v>
      </c>
      <c r="AD304" s="109" t="s">
        <v>2302</v>
      </c>
      <c r="AE304" s="30" t="s">
        <v>2303</v>
      </c>
    </row>
    <row r="305" spans="1:31" s="305" customFormat="1" ht="14.25">
      <c r="A305" s="405" t="s">
        <v>2304</v>
      </c>
      <c r="B305" s="217" t="s">
        <v>2305</v>
      </c>
      <c r="C305" s="45" t="s">
        <v>2306</v>
      </c>
      <c r="D305" s="45" t="s">
        <v>2307</v>
      </c>
      <c r="E305" s="30" t="s">
        <v>2308</v>
      </c>
      <c r="F305" s="47">
        <v>2.1</v>
      </c>
      <c r="G305" s="47" t="s">
        <v>1019</v>
      </c>
      <c r="H305" s="33">
        <v>21100</v>
      </c>
      <c r="I305" s="85">
        <v>14700</v>
      </c>
      <c r="J305" s="34">
        <v>6470</v>
      </c>
      <c r="K305" s="38">
        <v>50.6</v>
      </c>
      <c r="L305" s="307">
        <v>50.2</v>
      </c>
      <c r="M305" s="39">
        <v>38.9</v>
      </c>
      <c r="N305" s="36">
        <v>11.3</v>
      </c>
      <c r="O305" s="36">
        <v>0.41299999999999998</v>
      </c>
      <c r="P305" s="38">
        <v>0.6</v>
      </c>
      <c r="Q305" s="307">
        <v>0.58199999999999996</v>
      </c>
      <c r="R305" s="36">
        <v>0.58199999999999996</v>
      </c>
      <c r="S305" s="36">
        <v>0</v>
      </c>
      <c r="T305" s="36">
        <v>1.8700000000000001E-2</v>
      </c>
      <c r="U305" s="38">
        <v>50</v>
      </c>
      <c r="V305" s="307">
        <v>49.6</v>
      </c>
      <c r="W305" s="36">
        <v>38.299999999999997</v>
      </c>
      <c r="X305" s="36">
        <v>11.3</v>
      </c>
      <c r="Y305" s="36">
        <v>0.39400000000000002</v>
      </c>
      <c r="Z305" s="86">
        <v>16.7</v>
      </c>
      <c r="AA305" s="82">
        <v>10.5</v>
      </c>
      <c r="AB305" s="73">
        <v>6.25</v>
      </c>
      <c r="AC305" s="308">
        <v>0</v>
      </c>
      <c r="AD305" s="109" t="s">
        <v>2309</v>
      </c>
      <c r="AE305" s="30" t="s">
        <v>2310</v>
      </c>
    </row>
    <row r="306" spans="1:31" s="305" customFormat="1" ht="14.25">
      <c r="A306" s="405" t="s">
        <v>2311</v>
      </c>
      <c r="B306" s="217" t="s">
        <v>2312</v>
      </c>
      <c r="C306" s="45" t="s">
        <v>2313</v>
      </c>
      <c r="D306" s="45" t="s">
        <v>2314</v>
      </c>
      <c r="E306" s="30" t="s">
        <v>2315</v>
      </c>
      <c r="F306" s="47">
        <v>1.3</v>
      </c>
      <c r="G306" s="47" t="s">
        <v>1019</v>
      </c>
      <c r="H306" s="33">
        <v>12700</v>
      </c>
      <c r="I306" s="85">
        <v>8700</v>
      </c>
      <c r="J306" s="34">
        <v>4010</v>
      </c>
      <c r="K306" s="38">
        <v>34.9</v>
      </c>
      <c r="L306" s="307">
        <v>34.6</v>
      </c>
      <c r="M306" s="39">
        <v>24.2</v>
      </c>
      <c r="N306" s="36">
        <v>10.4</v>
      </c>
      <c r="O306" s="36">
        <v>0.255</v>
      </c>
      <c r="P306" s="38">
        <v>0.61499999999999999</v>
      </c>
      <c r="Q306" s="307">
        <v>0.60399999999999998</v>
      </c>
      <c r="R306" s="36">
        <v>0.60399999999999998</v>
      </c>
      <c r="S306" s="36">
        <v>0</v>
      </c>
      <c r="T306" s="36">
        <v>1.1599999999999999E-2</v>
      </c>
      <c r="U306" s="38">
        <v>34.299999999999997</v>
      </c>
      <c r="V306" s="307">
        <v>34</v>
      </c>
      <c r="W306" s="36">
        <v>23.6</v>
      </c>
      <c r="X306" s="36">
        <v>10.4</v>
      </c>
      <c r="Y306" s="36">
        <v>0.24399999999999999</v>
      </c>
      <c r="Z306" s="72">
        <v>9.84</v>
      </c>
      <c r="AA306" s="77">
        <v>5.98</v>
      </c>
      <c r="AB306" s="73">
        <v>3.87</v>
      </c>
      <c r="AC306" s="308">
        <v>0</v>
      </c>
      <c r="AD306" s="109" t="s">
        <v>2316</v>
      </c>
      <c r="AE306" s="30" t="s">
        <v>2317</v>
      </c>
    </row>
    <row r="307" spans="1:31" s="305" customFormat="1" ht="14.25">
      <c r="A307" s="405" t="s">
        <v>2318</v>
      </c>
      <c r="B307" s="217" t="s">
        <v>2319</v>
      </c>
      <c r="C307" s="45" t="s">
        <v>2320</v>
      </c>
      <c r="D307" s="45" t="s">
        <v>2321</v>
      </c>
      <c r="E307" s="30" t="s">
        <v>2322</v>
      </c>
      <c r="F307" s="47">
        <v>2.7</v>
      </c>
      <c r="G307" s="47" t="s">
        <v>1019</v>
      </c>
      <c r="H307" s="33">
        <v>15300</v>
      </c>
      <c r="I307" s="85">
        <v>13200</v>
      </c>
      <c r="J307" s="34">
        <v>2070</v>
      </c>
      <c r="K307" s="86">
        <v>26.4</v>
      </c>
      <c r="L307" s="307">
        <v>25.9</v>
      </c>
      <c r="M307" s="39">
        <v>14.2</v>
      </c>
      <c r="N307" s="36">
        <v>11.7</v>
      </c>
      <c r="O307" s="36">
        <v>0.438</v>
      </c>
      <c r="P307" s="86">
        <v>10.9</v>
      </c>
      <c r="Q307" s="307">
        <v>10.9</v>
      </c>
      <c r="R307" s="36">
        <v>1.44</v>
      </c>
      <c r="S307" s="36">
        <v>9.43</v>
      </c>
      <c r="T307" s="36">
        <v>2.41E-2</v>
      </c>
      <c r="U307" s="86">
        <v>15.5</v>
      </c>
      <c r="V307" s="307">
        <v>15.1</v>
      </c>
      <c r="W307" s="36">
        <v>12.8</v>
      </c>
      <c r="X307" s="36">
        <v>2.2599999999999998</v>
      </c>
      <c r="Y307" s="36">
        <v>0.41399999999999998</v>
      </c>
      <c r="Z307" s="72">
        <v>5.08</v>
      </c>
      <c r="AA307" s="77">
        <v>3.22</v>
      </c>
      <c r="AB307" s="73">
        <v>1.85</v>
      </c>
      <c r="AC307" s="308">
        <v>1.01</v>
      </c>
      <c r="AD307" s="109" t="s">
        <v>2323</v>
      </c>
      <c r="AE307" s="30" t="s">
        <v>2324</v>
      </c>
    </row>
    <row r="308" spans="1:31" s="305" customFormat="1" ht="14.25">
      <c r="A308" s="405" t="s">
        <v>2325</v>
      </c>
      <c r="B308" s="217" t="s">
        <v>2326</v>
      </c>
      <c r="C308" s="45" t="s">
        <v>2327</v>
      </c>
      <c r="D308" s="45" t="s">
        <v>2328</v>
      </c>
      <c r="E308" s="30" t="s">
        <v>2329</v>
      </c>
      <c r="F308" s="47">
        <v>95</v>
      </c>
      <c r="G308" s="47" t="s">
        <v>1019</v>
      </c>
      <c r="H308" s="33">
        <v>28100</v>
      </c>
      <c r="I308" s="85">
        <v>24100</v>
      </c>
      <c r="J308" s="34">
        <v>4040</v>
      </c>
      <c r="K308" s="38">
        <v>44.8</v>
      </c>
      <c r="L308" s="307">
        <v>39.6</v>
      </c>
      <c r="M308" s="39">
        <v>39.6</v>
      </c>
      <c r="N308" s="39">
        <v>0</v>
      </c>
      <c r="O308" s="36">
        <v>5.21</v>
      </c>
      <c r="P308" s="38">
        <v>4.2300000000000004</v>
      </c>
      <c r="Q308" s="307">
        <v>4.0199999999999996</v>
      </c>
      <c r="R308" s="36">
        <v>4.0199999999999996</v>
      </c>
      <c r="S308" s="36">
        <v>0</v>
      </c>
      <c r="T308" s="36">
        <v>0.21</v>
      </c>
      <c r="U308" s="38">
        <v>40.5</v>
      </c>
      <c r="V308" s="307">
        <v>35.6</v>
      </c>
      <c r="W308" s="36">
        <v>35.6</v>
      </c>
      <c r="X308" s="36">
        <v>0</v>
      </c>
      <c r="Y308" s="36">
        <v>5</v>
      </c>
      <c r="Z308" s="86">
        <v>17.3</v>
      </c>
      <c r="AA308" s="82">
        <v>16.100000000000001</v>
      </c>
      <c r="AB308" s="31">
        <v>1.21</v>
      </c>
      <c r="AC308" s="308">
        <v>0</v>
      </c>
      <c r="AD308" s="109" t="s">
        <v>2330</v>
      </c>
      <c r="AE308" s="30" t="s">
        <v>2331</v>
      </c>
    </row>
    <row r="309" spans="1:31" s="305" customFormat="1">
      <c r="A309" s="298" t="s">
        <v>2332</v>
      </c>
      <c r="B309" s="691"/>
      <c r="C309" s="41" t="s">
        <v>2333</v>
      </c>
      <c r="D309" s="40"/>
      <c r="E309" s="41"/>
      <c r="F309" s="42" t="s">
        <v>1012</v>
      </c>
      <c r="G309" s="43"/>
      <c r="H309" s="299"/>
      <c r="I309" s="299"/>
      <c r="J309" s="327"/>
      <c r="K309" s="328"/>
      <c r="L309" s="329"/>
      <c r="M309" s="312"/>
      <c r="N309" s="312"/>
      <c r="O309" s="330"/>
      <c r="P309" s="330"/>
      <c r="Q309" s="329"/>
      <c r="R309" s="312"/>
      <c r="S309" s="312"/>
      <c r="T309" s="329"/>
      <c r="U309" s="329"/>
      <c r="V309" s="329"/>
      <c r="W309" s="312"/>
      <c r="X309" s="312"/>
      <c r="Y309" s="312"/>
      <c r="Z309" s="384"/>
      <c r="AA309" s="301"/>
      <c r="AB309" s="407"/>
      <c r="AC309" s="407"/>
      <c r="AD309" s="304" t="s">
        <v>451</v>
      </c>
      <c r="AE309" s="41"/>
    </row>
    <row r="310" spans="1:31" s="325" customFormat="1" ht="14.25">
      <c r="A310" s="217" t="s">
        <v>720</v>
      </c>
      <c r="B310" s="217" t="s">
        <v>2334</v>
      </c>
      <c r="C310" s="30" t="s">
        <v>719</v>
      </c>
      <c r="D310" s="30" t="s">
        <v>2335</v>
      </c>
      <c r="E310" s="30" t="s">
        <v>2336</v>
      </c>
      <c r="F310" s="32" t="s">
        <v>1012</v>
      </c>
      <c r="G310" s="32" t="s">
        <v>1449</v>
      </c>
      <c r="H310" s="33">
        <v>394000</v>
      </c>
      <c r="I310" s="34">
        <v>377000</v>
      </c>
      <c r="J310" s="34">
        <v>17300</v>
      </c>
      <c r="K310" s="91">
        <v>1030</v>
      </c>
      <c r="L310" s="36">
        <v>1020</v>
      </c>
      <c r="M310" s="39">
        <v>1020</v>
      </c>
      <c r="N310" s="39">
        <v>0</v>
      </c>
      <c r="O310" s="36">
        <v>5.83</v>
      </c>
      <c r="P310" s="91">
        <v>118</v>
      </c>
      <c r="Q310" s="36">
        <v>117</v>
      </c>
      <c r="R310" s="36">
        <v>117</v>
      </c>
      <c r="S310" s="36">
        <v>0</v>
      </c>
      <c r="T310" s="36">
        <v>0.49</v>
      </c>
      <c r="U310" s="91">
        <v>911</v>
      </c>
      <c r="V310" s="36">
        <v>906</v>
      </c>
      <c r="W310" s="36">
        <v>906</v>
      </c>
      <c r="X310" s="36">
        <v>0</v>
      </c>
      <c r="Y310" s="36">
        <v>5.34</v>
      </c>
      <c r="Z310" s="86">
        <v>216</v>
      </c>
      <c r="AA310" s="87">
        <v>201</v>
      </c>
      <c r="AB310" s="73">
        <v>14.8</v>
      </c>
      <c r="AC310" s="308">
        <v>0</v>
      </c>
      <c r="AD310" s="332" t="s">
        <v>285</v>
      </c>
      <c r="AE310" s="30" t="s">
        <v>2337</v>
      </c>
    </row>
    <row r="311" spans="1:31" s="325" customFormat="1" ht="14.25">
      <c r="A311" s="217" t="s">
        <v>2338</v>
      </c>
      <c r="B311" s="217" t="s">
        <v>2339</v>
      </c>
      <c r="C311" s="30" t="s">
        <v>2340</v>
      </c>
      <c r="D311" s="30" t="s">
        <v>2341</v>
      </c>
      <c r="E311" s="30" t="s">
        <v>2342</v>
      </c>
      <c r="F311" s="32" t="s">
        <v>1012</v>
      </c>
      <c r="G311" s="32" t="s">
        <v>1449</v>
      </c>
      <c r="H311" s="33">
        <v>385000</v>
      </c>
      <c r="I311" s="34">
        <v>374000</v>
      </c>
      <c r="J311" s="34">
        <v>10500</v>
      </c>
      <c r="K311" s="91">
        <v>980</v>
      </c>
      <c r="L311" s="36">
        <v>979</v>
      </c>
      <c r="M311" s="39">
        <v>979</v>
      </c>
      <c r="N311" s="39">
        <v>0</v>
      </c>
      <c r="O311" s="36">
        <v>0.81799999999999995</v>
      </c>
      <c r="P311" s="91">
        <v>143</v>
      </c>
      <c r="Q311" s="36">
        <v>142</v>
      </c>
      <c r="R311" s="36">
        <v>142</v>
      </c>
      <c r="S311" s="36">
        <v>0</v>
      </c>
      <c r="T311" s="36">
        <v>2.63E-2</v>
      </c>
      <c r="U311" s="91">
        <v>837</v>
      </c>
      <c r="V311" s="36">
        <v>836</v>
      </c>
      <c r="W311" s="36">
        <v>836</v>
      </c>
      <c r="X311" s="36">
        <v>0</v>
      </c>
      <c r="Y311" s="36">
        <v>0.79200000000000004</v>
      </c>
      <c r="Z311" s="86">
        <v>192</v>
      </c>
      <c r="AA311" s="87">
        <v>182</v>
      </c>
      <c r="AB311" s="73">
        <v>10</v>
      </c>
      <c r="AC311" s="308">
        <v>0</v>
      </c>
      <c r="AD311" s="332" t="s">
        <v>2343</v>
      </c>
      <c r="AE311" s="30" t="s">
        <v>2344</v>
      </c>
    </row>
    <row r="312" spans="1:31" s="325" customFormat="1" ht="14.25">
      <c r="A312" s="217" t="s">
        <v>2345</v>
      </c>
      <c r="B312" s="217" t="s">
        <v>2346</v>
      </c>
      <c r="C312" s="217" t="s">
        <v>2347</v>
      </c>
      <c r="D312" s="30" t="s">
        <v>2348</v>
      </c>
      <c r="E312" s="30" t="s">
        <v>2349</v>
      </c>
      <c r="F312" s="32" t="s">
        <v>1012</v>
      </c>
      <c r="G312" s="32" t="s">
        <v>1449</v>
      </c>
      <c r="H312" s="33">
        <v>125000</v>
      </c>
      <c r="I312" s="34">
        <v>116000</v>
      </c>
      <c r="J312" s="34">
        <v>9270</v>
      </c>
      <c r="K312" s="91">
        <v>548</v>
      </c>
      <c r="L312" s="36">
        <v>544</v>
      </c>
      <c r="M312" s="39">
        <v>336</v>
      </c>
      <c r="N312" s="39">
        <v>207</v>
      </c>
      <c r="O312" s="36">
        <v>4.3099999999999996</v>
      </c>
      <c r="P312" s="91">
        <v>283</v>
      </c>
      <c r="Q312" s="36">
        <v>283</v>
      </c>
      <c r="R312" s="36">
        <v>102</v>
      </c>
      <c r="S312" s="36">
        <v>181</v>
      </c>
      <c r="T312" s="36">
        <v>0.14000000000000001</v>
      </c>
      <c r="U312" s="91">
        <v>265</v>
      </c>
      <c r="V312" s="36">
        <v>261</v>
      </c>
      <c r="W312" s="36">
        <v>234</v>
      </c>
      <c r="X312" s="36">
        <v>26.3</v>
      </c>
      <c r="Y312" s="36">
        <v>4.17</v>
      </c>
      <c r="Z312" s="86">
        <v>62.2</v>
      </c>
      <c r="AA312" s="87">
        <v>54.6</v>
      </c>
      <c r="AB312" s="73">
        <v>7.64</v>
      </c>
      <c r="AC312" s="308">
        <v>15.5</v>
      </c>
      <c r="AD312" s="332" t="s">
        <v>2350</v>
      </c>
      <c r="AE312" s="30" t="s">
        <v>2351</v>
      </c>
    </row>
    <row r="313" spans="1:31" s="305" customFormat="1" ht="14.25">
      <c r="A313" s="405" t="s">
        <v>2352</v>
      </c>
      <c r="B313" s="217" t="s">
        <v>2353</v>
      </c>
      <c r="C313" s="45" t="s">
        <v>2354</v>
      </c>
      <c r="D313" s="45" t="s">
        <v>2355</v>
      </c>
      <c r="E313" s="30" t="s">
        <v>2356</v>
      </c>
      <c r="F313" s="47" t="s">
        <v>1012</v>
      </c>
      <c r="G313" s="47" t="s">
        <v>1019</v>
      </c>
      <c r="H313" s="33">
        <v>231000</v>
      </c>
      <c r="I313" s="34">
        <v>222000</v>
      </c>
      <c r="J313" s="34">
        <v>9270</v>
      </c>
      <c r="K313" s="91">
        <v>834</v>
      </c>
      <c r="L313" s="36">
        <v>830</v>
      </c>
      <c r="M313" s="39">
        <v>622</v>
      </c>
      <c r="N313" s="39">
        <v>207</v>
      </c>
      <c r="O313" s="36">
        <v>4.3099999999999996</v>
      </c>
      <c r="P313" s="91">
        <v>329</v>
      </c>
      <c r="Q313" s="36">
        <v>329</v>
      </c>
      <c r="R313" s="36">
        <v>147</v>
      </c>
      <c r="S313" s="36">
        <v>181</v>
      </c>
      <c r="T313" s="36">
        <v>0.14000000000000001</v>
      </c>
      <c r="U313" s="91">
        <v>505</v>
      </c>
      <c r="V313" s="36">
        <v>501</v>
      </c>
      <c r="W313" s="36">
        <v>475</v>
      </c>
      <c r="X313" s="36">
        <v>26.3</v>
      </c>
      <c r="Y313" s="36">
        <v>4.17</v>
      </c>
      <c r="Z313" s="86">
        <v>116</v>
      </c>
      <c r="AA313" s="87">
        <v>108</v>
      </c>
      <c r="AB313" s="73">
        <v>7.64</v>
      </c>
      <c r="AC313" s="308">
        <v>15.5</v>
      </c>
      <c r="AD313" s="109" t="s">
        <v>2357</v>
      </c>
      <c r="AE313" s="30" t="s">
        <v>2358</v>
      </c>
    </row>
    <row r="314" spans="1:31" s="305" customFormat="1" ht="14.25">
      <c r="A314" s="405" t="s">
        <v>2359</v>
      </c>
      <c r="B314" s="217" t="s">
        <v>2360</v>
      </c>
      <c r="C314" s="45" t="s">
        <v>2361</v>
      </c>
      <c r="D314" s="45" t="s">
        <v>2362</v>
      </c>
      <c r="E314" s="30" t="s">
        <v>2363</v>
      </c>
      <c r="F314" s="47" t="s">
        <v>1012</v>
      </c>
      <c r="G314" s="47" t="s">
        <v>1019</v>
      </c>
      <c r="H314" s="33">
        <v>161000</v>
      </c>
      <c r="I314" s="34">
        <v>148000</v>
      </c>
      <c r="J314" s="34">
        <v>12100</v>
      </c>
      <c r="K314" s="91">
        <v>606</v>
      </c>
      <c r="L314" s="36">
        <v>599</v>
      </c>
      <c r="M314" s="39">
        <v>424</v>
      </c>
      <c r="N314" s="39">
        <v>175</v>
      </c>
      <c r="O314" s="36">
        <v>6.63</v>
      </c>
      <c r="P314" s="91">
        <v>247</v>
      </c>
      <c r="Q314" s="36">
        <v>247</v>
      </c>
      <c r="R314" s="36">
        <v>93.2</v>
      </c>
      <c r="S314" s="36">
        <v>153</v>
      </c>
      <c r="T314" s="36">
        <v>0.32100000000000001</v>
      </c>
      <c r="U314" s="91">
        <v>359</v>
      </c>
      <c r="V314" s="36">
        <v>352</v>
      </c>
      <c r="W314" s="36">
        <v>331</v>
      </c>
      <c r="X314" s="36">
        <v>21.2</v>
      </c>
      <c r="Y314" s="36">
        <v>6.31</v>
      </c>
      <c r="Z314" s="86">
        <v>85.7</v>
      </c>
      <c r="AA314" s="87">
        <v>76</v>
      </c>
      <c r="AB314" s="73">
        <v>9.6999999999999993</v>
      </c>
      <c r="AC314" s="308">
        <v>13</v>
      </c>
      <c r="AD314" s="109" t="s">
        <v>2364</v>
      </c>
      <c r="AE314" s="30" t="s">
        <v>2365</v>
      </c>
    </row>
    <row r="315" spans="1:31" s="325" customFormat="1" ht="14.25">
      <c r="A315" s="217" t="s">
        <v>2366</v>
      </c>
      <c r="B315" s="217" t="s">
        <v>2367</v>
      </c>
      <c r="C315" s="30" t="s">
        <v>2368</v>
      </c>
      <c r="D315" s="30" t="s">
        <v>2369</v>
      </c>
      <c r="E315" s="30" t="s">
        <v>2370</v>
      </c>
      <c r="F315" s="32" t="s">
        <v>1012</v>
      </c>
      <c r="G315" s="32" t="s">
        <v>1449</v>
      </c>
      <c r="H315" s="33">
        <v>316000</v>
      </c>
      <c r="I315" s="34">
        <v>305000</v>
      </c>
      <c r="J315" s="34">
        <v>10500</v>
      </c>
      <c r="K315" s="91">
        <v>827</v>
      </c>
      <c r="L315" s="36">
        <v>823</v>
      </c>
      <c r="M315" s="39">
        <v>823</v>
      </c>
      <c r="N315" s="39">
        <v>0</v>
      </c>
      <c r="O315" s="36">
        <v>3.94</v>
      </c>
      <c r="P315" s="91">
        <v>104</v>
      </c>
      <c r="Q315" s="36">
        <v>104</v>
      </c>
      <c r="R315" s="36">
        <v>104</v>
      </c>
      <c r="S315" s="36">
        <v>0</v>
      </c>
      <c r="T315" s="36">
        <v>0.33900000000000002</v>
      </c>
      <c r="U315" s="91">
        <v>722</v>
      </c>
      <c r="V315" s="36">
        <v>719</v>
      </c>
      <c r="W315" s="36">
        <v>719</v>
      </c>
      <c r="X315" s="36">
        <v>0</v>
      </c>
      <c r="Y315" s="36">
        <v>3.6</v>
      </c>
      <c r="Z315" s="86">
        <v>166</v>
      </c>
      <c r="AA315" s="87">
        <v>157</v>
      </c>
      <c r="AB315" s="73">
        <v>8.7100000000000009</v>
      </c>
      <c r="AC315" s="308">
        <v>0</v>
      </c>
      <c r="AD315" s="332" t="s">
        <v>2371</v>
      </c>
      <c r="AE315" s="30" t="s">
        <v>2372</v>
      </c>
    </row>
    <row r="316" spans="1:31" s="325" customFormat="1" ht="14.25">
      <c r="A316" s="217" t="s">
        <v>836</v>
      </c>
      <c r="B316" s="217" t="s">
        <v>2373</v>
      </c>
      <c r="C316" s="30" t="s">
        <v>2374</v>
      </c>
      <c r="D316" s="30" t="s">
        <v>2375</v>
      </c>
      <c r="E316" s="30" t="s">
        <v>2376</v>
      </c>
      <c r="F316" s="32" t="s">
        <v>1012</v>
      </c>
      <c r="G316" s="32" t="s">
        <v>1449</v>
      </c>
      <c r="H316" s="33">
        <v>87800</v>
      </c>
      <c r="I316" s="34">
        <v>79300</v>
      </c>
      <c r="J316" s="34">
        <v>8530</v>
      </c>
      <c r="K316" s="91">
        <v>470</v>
      </c>
      <c r="L316" s="36">
        <v>465</v>
      </c>
      <c r="M316" s="39">
        <v>247</v>
      </c>
      <c r="N316" s="39">
        <v>218</v>
      </c>
      <c r="O316" s="36">
        <v>5.05</v>
      </c>
      <c r="P316" s="91">
        <v>280</v>
      </c>
      <c r="Q316" s="36">
        <v>280</v>
      </c>
      <c r="R316" s="36">
        <v>88.8</v>
      </c>
      <c r="S316" s="36">
        <v>191</v>
      </c>
      <c r="T316" s="36">
        <v>0.18099999999999999</v>
      </c>
      <c r="U316" s="91">
        <v>190</v>
      </c>
      <c r="V316" s="36">
        <v>185</v>
      </c>
      <c r="W316" s="36">
        <v>158</v>
      </c>
      <c r="X316" s="36">
        <v>27.5</v>
      </c>
      <c r="Y316" s="36">
        <v>4.87</v>
      </c>
      <c r="Z316" s="86">
        <v>44.3</v>
      </c>
      <c r="AA316" s="87">
        <v>37.4</v>
      </c>
      <c r="AB316" s="73">
        <v>6.86</v>
      </c>
      <c r="AC316" s="308">
        <v>17.3</v>
      </c>
      <c r="AD316" s="332" t="s">
        <v>2377</v>
      </c>
      <c r="AE316" s="30" t="s">
        <v>2378</v>
      </c>
    </row>
    <row r="317" spans="1:31" s="325" customFormat="1" ht="14.25">
      <c r="A317" s="217" t="s">
        <v>2379</v>
      </c>
      <c r="B317" s="217" t="s">
        <v>2380</v>
      </c>
      <c r="C317" s="30" t="s">
        <v>2381</v>
      </c>
      <c r="D317" s="30" t="s">
        <v>2382</v>
      </c>
      <c r="E317" s="30" t="s">
        <v>2383</v>
      </c>
      <c r="F317" s="32" t="s">
        <v>1012</v>
      </c>
      <c r="G317" s="32" t="s">
        <v>1449</v>
      </c>
      <c r="H317" s="33">
        <v>181000</v>
      </c>
      <c r="I317" s="34">
        <v>173000</v>
      </c>
      <c r="J317" s="34">
        <v>7920</v>
      </c>
      <c r="K317" s="91">
        <v>589</v>
      </c>
      <c r="L317" s="36">
        <v>584</v>
      </c>
      <c r="M317" s="39">
        <v>420</v>
      </c>
      <c r="N317" s="39">
        <v>164</v>
      </c>
      <c r="O317" s="36">
        <v>4.5199999999999996</v>
      </c>
      <c r="P317" s="91">
        <v>232</v>
      </c>
      <c r="Q317" s="36">
        <v>232</v>
      </c>
      <c r="R317" s="36">
        <v>94.1</v>
      </c>
      <c r="S317" s="36">
        <v>138</v>
      </c>
      <c r="T317" s="36">
        <v>0.17299999999999999</v>
      </c>
      <c r="U317" s="91">
        <v>357</v>
      </c>
      <c r="V317" s="36">
        <v>352</v>
      </c>
      <c r="W317" s="36">
        <v>326</v>
      </c>
      <c r="X317" s="36">
        <v>26.3</v>
      </c>
      <c r="Y317" s="36">
        <v>4.3499999999999996</v>
      </c>
      <c r="Z317" s="86">
        <v>96.8</v>
      </c>
      <c r="AA317" s="87">
        <v>90.4</v>
      </c>
      <c r="AB317" s="73">
        <v>6.46</v>
      </c>
      <c r="AC317" s="308">
        <v>13.7</v>
      </c>
      <c r="AD317" s="332" t="s">
        <v>2384</v>
      </c>
      <c r="AE317" s="30" t="s">
        <v>2385</v>
      </c>
    </row>
    <row r="318" spans="1:31" s="305" customFormat="1" ht="14.25">
      <c r="A318" s="405" t="s">
        <v>2386</v>
      </c>
      <c r="B318" s="217" t="s">
        <v>2387</v>
      </c>
      <c r="C318" s="30" t="s">
        <v>2388</v>
      </c>
      <c r="D318" s="45" t="s">
        <v>2389</v>
      </c>
      <c r="E318" s="30" t="s">
        <v>2390</v>
      </c>
      <c r="F318" s="47" t="s">
        <v>1012</v>
      </c>
      <c r="G318" s="47" t="s">
        <v>1019</v>
      </c>
      <c r="H318" s="33">
        <v>109000</v>
      </c>
      <c r="I318" s="34">
        <v>99800</v>
      </c>
      <c r="J318" s="34">
        <v>8890</v>
      </c>
      <c r="K318" s="91">
        <v>455</v>
      </c>
      <c r="L318" s="36">
        <v>450</v>
      </c>
      <c r="M318" s="39">
        <v>308</v>
      </c>
      <c r="N318" s="39">
        <v>142</v>
      </c>
      <c r="O318" s="36">
        <v>5.51</v>
      </c>
      <c r="P318" s="91">
        <v>201</v>
      </c>
      <c r="Q318" s="36">
        <v>200</v>
      </c>
      <c r="R318" s="36">
        <v>73</v>
      </c>
      <c r="S318" s="36">
        <v>127</v>
      </c>
      <c r="T318" s="36">
        <v>0.27900000000000003</v>
      </c>
      <c r="U318" s="91">
        <v>255</v>
      </c>
      <c r="V318" s="36">
        <v>249</v>
      </c>
      <c r="W318" s="36">
        <v>234</v>
      </c>
      <c r="X318" s="36">
        <v>14.9</v>
      </c>
      <c r="Y318" s="36">
        <v>5.24</v>
      </c>
      <c r="Z318" s="86">
        <v>59.7</v>
      </c>
      <c r="AA318" s="87">
        <v>52.8</v>
      </c>
      <c r="AB318" s="73">
        <v>6.92</v>
      </c>
      <c r="AC318" s="308">
        <v>11</v>
      </c>
      <c r="AD318" s="332" t="s">
        <v>2391</v>
      </c>
      <c r="AE318" s="30" t="s">
        <v>2392</v>
      </c>
    </row>
    <row r="319" spans="1:31" s="325" customFormat="1" ht="14.25">
      <c r="A319" s="217" t="s">
        <v>2393</v>
      </c>
      <c r="B319" s="217" t="s">
        <v>2394</v>
      </c>
      <c r="C319" s="30" t="s">
        <v>2395</v>
      </c>
      <c r="D319" s="30" t="s">
        <v>2396</v>
      </c>
      <c r="E319" s="30" t="s">
        <v>2397</v>
      </c>
      <c r="F319" s="32" t="s">
        <v>1012</v>
      </c>
      <c r="G319" s="32" t="s">
        <v>1449</v>
      </c>
      <c r="H319" s="33">
        <v>202000</v>
      </c>
      <c r="I319" s="34">
        <v>193000</v>
      </c>
      <c r="J319" s="34">
        <v>8270</v>
      </c>
      <c r="K319" s="91">
        <v>574</v>
      </c>
      <c r="L319" s="36">
        <v>569</v>
      </c>
      <c r="M319" s="39">
        <v>481</v>
      </c>
      <c r="N319" s="39">
        <v>88.1</v>
      </c>
      <c r="O319" s="36">
        <v>4.9800000000000004</v>
      </c>
      <c r="P319" s="91">
        <v>153</v>
      </c>
      <c r="Q319" s="36">
        <v>153</v>
      </c>
      <c r="R319" s="36">
        <v>78.3</v>
      </c>
      <c r="S319" s="36">
        <v>74.400000000000006</v>
      </c>
      <c r="T319" s="36">
        <v>0.27100000000000002</v>
      </c>
      <c r="U319" s="91">
        <v>421</v>
      </c>
      <c r="V319" s="36">
        <v>416</v>
      </c>
      <c r="W319" s="36">
        <v>403</v>
      </c>
      <c r="X319" s="36">
        <v>13.7</v>
      </c>
      <c r="Y319" s="36">
        <v>4.71</v>
      </c>
      <c r="Z319" s="86">
        <v>112</v>
      </c>
      <c r="AA319" s="87">
        <v>106</v>
      </c>
      <c r="AB319" s="73">
        <v>6.53</v>
      </c>
      <c r="AC319" s="308">
        <v>7.46</v>
      </c>
      <c r="AD319" s="332" t="s">
        <v>2398</v>
      </c>
      <c r="AE319" s="30" t="s">
        <v>2399</v>
      </c>
    </row>
    <row r="320" spans="1:31" s="305" customFormat="1" ht="14.25">
      <c r="A320" s="405" t="s">
        <v>2400</v>
      </c>
      <c r="B320" s="217" t="s">
        <v>2401</v>
      </c>
      <c r="C320" s="30" t="s">
        <v>2402</v>
      </c>
      <c r="D320" s="45" t="s">
        <v>2403</v>
      </c>
      <c r="E320" s="30" t="s">
        <v>2404</v>
      </c>
      <c r="F320" s="47" t="s">
        <v>1012</v>
      </c>
      <c r="G320" s="47" t="s">
        <v>1019</v>
      </c>
      <c r="H320" s="33">
        <v>64500</v>
      </c>
      <c r="I320" s="34">
        <v>57800</v>
      </c>
      <c r="J320" s="34">
        <v>6700</v>
      </c>
      <c r="K320" s="91">
        <v>347</v>
      </c>
      <c r="L320" s="36">
        <v>343</v>
      </c>
      <c r="M320" s="39">
        <v>185</v>
      </c>
      <c r="N320" s="39">
        <v>158</v>
      </c>
      <c r="O320" s="36">
        <v>3.57</v>
      </c>
      <c r="P320" s="91">
        <v>206</v>
      </c>
      <c r="Q320" s="36">
        <v>206</v>
      </c>
      <c r="R320" s="36">
        <v>67.099999999999994</v>
      </c>
      <c r="S320" s="36">
        <v>139</v>
      </c>
      <c r="T320" s="36">
        <v>0.125</v>
      </c>
      <c r="U320" s="91">
        <v>141</v>
      </c>
      <c r="V320" s="36">
        <v>137</v>
      </c>
      <c r="W320" s="36">
        <v>118</v>
      </c>
      <c r="X320" s="36">
        <v>18.899999999999999</v>
      </c>
      <c r="Y320" s="36">
        <v>3.44</v>
      </c>
      <c r="Z320" s="86">
        <v>32.299999999999997</v>
      </c>
      <c r="AA320" s="87">
        <v>26.9</v>
      </c>
      <c r="AB320" s="73">
        <v>5.39</v>
      </c>
      <c r="AC320" s="308">
        <v>12.4</v>
      </c>
      <c r="AD320" s="332" t="s">
        <v>2405</v>
      </c>
      <c r="AE320" s="30" t="s">
        <v>2406</v>
      </c>
    </row>
    <row r="321" spans="1:31" s="325" customFormat="1" ht="14.25">
      <c r="A321" s="408" t="s">
        <v>2407</v>
      </c>
      <c r="B321" s="217" t="s">
        <v>2408</v>
      </c>
      <c r="C321" s="30" t="s">
        <v>2409</v>
      </c>
      <c r="D321" s="30" t="s">
        <v>2410</v>
      </c>
      <c r="E321" s="30" t="s">
        <v>2411</v>
      </c>
      <c r="F321" s="32" t="s">
        <v>1012</v>
      </c>
      <c r="G321" s="32" t="s">
        <v>1449</v>
      </c>
      <c r="H321" s="33">
        <v>158000</v>
      </c>
      <c r="I321" s="34">
        <v>151000</v>
      </c>
      <c r="J321" s="34">
        <v>6090</v>
      </c>
      <c r="K321" s="91">
        <v>466</v>
      </c>
      <c r="L321" s="36">
        <v>463</v>
      </c>
      <c r="M321" s="39">
        <v>359</v>
      </c>
      <c r="N321" s="39">
        <v>104</v>
      </c>
      <c r="O321" s="36">
        <v>3.04</v>
      </c>
      <c r="P321" s="91">
        <v>159</v>
      </c>
      <c r="Q321" s="36">
        <v>158</v>
      </c>
      <c r="R321" s="36">
        <v>72.3</v>
      </c>
      <c r="S321" s="36">
        <v>86.2</v>
      </c>
      <c r="T321" s="36">
        <v>0.11700000000000001</v>
      </c>
      <c r="U321" s="91">
        <v>307</v>
      </c>
      <c r="V321" s="36">
        <v>304</v>
      </c>
      <c r="W321" s="36">
        <v>287</v>
      </c>
      <c r="X321" s="36">
        <v>17.7</v>
      </c>
      <c r="Y321" s="36">
        <v>2.92</v>
      </c>
      <c r="Z321" s="86">
        <v>84.8</v>
      </c>
      <c r="AA321" s="87">
        <v>79.900000000000006</v>
      </c>
      <c r="AB321" s="73">
        <v>5</v>
      </c>
      <c r="AC321" s="308">
        <v>8.83</v>
      </c>
      <c r="AD321" s="332" t="s">
        <v>2412</v>
      </c>
      <c r="AE321" s="30" t="s">
        <v>2413</v>
      </c>
    </row>
    <row r="322" spans="1:31" s="325" customFormat="1" ht="12.75" customHeight="1">
      <c r="A322" s="1972" t="s">
        <v>2414</v>
      </c>
      <c r="B322" s="1973"/>
      <c r="C322" s="1973"/>
      <c r="D322" s="1973"/>
      <c r="E322" s="1973"/>
      <c r="F322" s="1973"/>
      <c r="G322" s="1973"/>
      <c r="H322" s="1973"/>
      <c r="I322" s="1973"/>
      <c r="J322" s="1973"/>
      <c r="K322" s="1973"/>
      <c r="L322" s="1973"/>
      <c r="M322" s="1973"/>
      <c r="N322" s="1973"/>
      <c r="O322" s="1973"/>
      <c r="P322" s="1973"/>
      <c r="Q322" s="1973"/>
      <c r="R322" s="1973"/>
      <c r="S322" s="1973"/>
      <c r="T322" s="1973"/>
      <c r="U322" s="1973"/>
      <c r="V322" s="1973"/>
      <c r="W322" s="1973"/>
      <c r="X322" s="1973"/>
      <c r="Y322" s="1973"/>
      <c r="Z322" s="1973"/>
      <c r="AA322" s="1973"/>
      <c r="AB322" s="1973"/>
      <c r="AC322" s="1973"/>
      <c r="AD322" s="1973"/>
      <c r="AE322" s="1973"/>
    </row>
    <row r="323" spans="1:31" s="325" customFormat="1" ht="12.95" customHeight="1">
      <c r="A323" s="1972" t="s">
        <v>2415</v>
      </c>
      <c r="B323" s="1973"/>
      <c r="C323" s="1973"/>
      <c r="D323" s="1973"/>
      <c r="E323" s="1973"/>
      <c r="F323" s="1973"/>
      <c r="G323" s="1973"/>
      <c r="H323" s="1973"/>
      <c r="I323" s="1973"/>
      <c r="J323" s="1973"/>
      <c r="K323" s="1973"/>
      <c r="L323" s="1973"/>
      <c r="M323" s="1973"/>
      <c r="N323" s="1973"/>
      <c r="O323" s="1973"/>
      <c r="P323" s="1973"/>
      <c r="Q323" s="1973"/>
      <c r="R323" s="1973"/>
      <c r="S323" s="1973"/>
      <c r="T323" s="1973"/>
      <c r="U323" s="1973"/>
      <c r="V323" s="1973"/>
      <c r="W323" s="1973"/>
      <c r="X323" s="1973"/>
      <c r="Y323" s="1973"/>
      <c r="Z323" s="1973"/>
      <c r="AA323" s="1973"/>
      <c r="AB323" s="1973"/>
      <c r="AC323" s="1973"/>
      <c r="AD323" s="1973"/>
      <c r="AE323" s="1973"/>
    </row>
    <row r="324" spans="1:31" s="305" customFormat="1" ht="14.25">
      <c r="A324" s="298" t="s">
        <v>2416</v>
      </c>
      <c r="B324" s="298"/>
      <c r="C324" s="41" t="s">
        <v>2417</v>
      </c>
      <c r="D324" s="40"/>
      <c r="E324" s="41"/>
      <c r="F324" s="42" t="s">
        <v>1173</v>
      </c>
      <c r="G324" s="43"/>
      <c r="H324" s="299"/>
      <c r="I324" s="299"/>
      <c r="J324" s="299"/>
      <c r="K324" s="300"/>
      <c r="L324" s="300"/>
      <c r="M324" s="300"/>
      <c r="N324" s="300"/>
      <c r="O324" s="300"/>
      <c r="P324" s="300"/>
      <c r="Q324" s="300"/>
      <c r="R324" s="300"/>
      <c r="S324" s="300"/>
      <c r="T324" s="300"/>
      <c r="U324" s="300"/>
      <c r="V324" s="300"/>
      <c r="W324" s="301"/>
      <c r="X324" s="301"/>
      <c r="Y324" s="409"/>
      <c r="Z324" s="303"/>
      <c r="AA324" s="301"/>
      <c r="AB324" s="301"/>
      <c r="AC324" s="301"/>
      <c r="AD324" s="304" t="s">
        <v>2418</v>
      </c>
      <c r="AE324" s="41"/>
    </row>
    <row r="325" spans="1:31" s="305" customFormat="1">
      <c r="A325" s="405" t="s">
        <v>2419</v>
      </c>
      <c r="B325" s="217" t="s">
        <v>2420</v>
      </c>
      <c r="C325" s="45" t="s">
        <v>2421</v>
      </c>
      <c r="D325" s="30" t="s">
        <v>2422</v>
      </c>
      <c r="E325" s="30" t="s">
        <v>2423</v>
      </c>
      <c r="F325" s="71">
        <v>1050</v>
      </c>
      <c r="G325" s="47" t="s">
        <v>268</v>
      </c>
      <c r="H325" s="33">
        <v>9770</v>
      </c>
      <c r="I325" s="85">
        <v>6790</v>
      </c>
      <c r="J325" s="34">
        <v>2980</v>
      </c>
      <c r="K325" s="38">
        <v>30.4</v>
      </c>
      <c r="L325" s="307">
        <v>29.6</v>
      </c>
      <c r="M325" s="39">
        <v>21</v>
      </c>
      <c r="N325" s="39">
        <v>8.58</v>
      </c>
      <c r="O325" s="36">
        <v>0.76</v>
      </c>
      <c r="P325" s="38">
        <v>0.437</v>
      </c>
      <c r="Q325" s="307">
        <v>0.41599999999999998</v>
      </c>
      <c r="R325" s="36">
        <v>0.41599999999999998</v>
      </c>
      <c r="S325" s="36">
        <v>0</v>
      </c>
      <c r="T325" s="36">
        <v>2.1299999999999999E-2</v>
      </c>
      <c r="U325" s="38">
        <v>30</v>
      </c>
      <c r="V325" s="307">
        <v>29.2</v>
      </c>
      <c r="W325" s="36">
        <v>20.6</v>
      </c>
      <c r="X325" s="36">
        <v>8.58</v>
      </c>
      <c r="Y325" s="36">
        <v>0.73899999999999999</v>
      </c>
      <c r="Z325" s="72">
        <v>7.67</v>
      </c>
      <c r="AA325" s="77">
        <v>4.92</v>
      </c>
      <c r="AB325" s="73">
        <v>2.75</v>
      </c>
      <c r="AC325" s="308">
        <v>0</v>
      </c>
      <c r="AD325" s="109" t="s">
        <v>2424</v>
      </c>
      <c r="AE325" s="30" t="s">
        <v>2425</v>
      </c>
    </row>
    <row r="326" spans="1:31" s="305" customFormat="1">
      <c r="A326" s="405" t="s">
        <v>2426</v>
      </c>
      <c r="B326" s="217" t="s">
        <v>2427</v>
      </c>
      <c r="C326" s="45" t="s">
        <v>2428</v>
      </c>
      <c r="D326" s="88" t="s">
        <v>1663</v>
      </c>
      <c r="E326" s="30" t="s">
        <v>1664</v>
      </c>
      <c r="F326" s="71">
        <v>7850</v>
      </c>
      <c r="G326" s="47" t="s">
        <v>268</v>
      </c>
      <c r="H326" s="33">
        <v>5670</v>
      </c>
      <c r="I326" s="85">
        <v>5660</v>
      </c>
      <c r="J326" s="34">
        <v>11.1</v>
      </c>
      <c r="K326" s="86">
        <v>5.76</v>
      </c>
      <c r="L326" s="307">
        <v>5.73</v>
      </c>
      <c r="M326" s="39">
        <v>5.73</v>
      </c>
      <c r="N326" s="39">
        <v>0</v>
      </c>
      <c r="O326" s="36">
        <v>2.7799999999999998E-2</v>
      </c>
      <c r="P326" s="86">
        <v>0.27900000000000003</v>
      </c>
      <c r="Q326" s="307">
        <v>0.27900000000000003</v>
      </c>
      <c r="R326" s="36">
        <v>0.27900000000000003</v>
      </c>
      <c r="S326" s="36">
        <v>0</v>
      </c>
      <c r="T326" s="36">
        <v>5.8200000000000005E-4</v>
      </c>
      <c r="U326" s="86">
        <v>5.48</v>
      </c>
      <c r="V326" s="307">
        <v>5.45</v>
      </c>
      <c r="W326" s="36">
        <v>5.45</v>
      </c>
      <c r="X326" s="36">
        <v>0</v>
      </c>
      <c r="Y326" s="36">
        <v>2.7199999999999998E-2</v>
      </c>
      <c r="Z326" s="72">
        <v>2.09</v>
      </c>
      <c r="AA326" s="77">
        <v>2.09</v>
      </c>
      <c r="AB326" s="73">
        <v>6.9300000000000004E-3</v>
      </c>
      <c r="AC326" s="308">
        <v>0</v>
      </c>
      <c r="AD326" s="109" t="s">
        <v>2429</v>
      </c>
      <c r="AE326" s="30" t="s">
        <v>1666</v>
      </c>
    </row>
    <row r="327" spans="1:31" s="305" customFormat="1">
      <c r="A327" s="405" t="s">
        <v>578</v>
      </c>
      <c r="B327" s="217" t="s">
        <v>2430</v>
      </c>
      <c r="C327" s="45" t="s">
        <v>2431</v>
      </c>
      <c r="D327" s="131" t="s">
        <v>2432</v>
      </c>
      <c r="E327" s="30" t="s">
        <v>2433</v>
      </c>
      <c r="F327" s="71">
        <v>960</v>
      </c>
      <c r="G327" s="47" t="s">
        <v>268</v>
      </c>
      <c r="H327" s="33">
        <v>6020</v>
      </c>
      <c r="I327" s="85">
        <v>3570</v>
      </c>
      <c r="J327" s="34">
        <v>2450</v>
      </c>
      <c r="K327" s="86">
        <v>23.8</v>
      </c>
      <c r="L327" s="307">
        <v>23.5</v>
      </c>
      <c r="M327" s="39">
        <v>11.7</v>
      </c>
      <c r="N327" s="39">
        <v>11.9</v>
      </c>
      <c r="O327" s="36">
        <v>0.223</v>
      </c>
      <c r="P327" s="86">
        <v>0.54400000000000004</v>
      </c>
      <c r="Q327" s="307">
        <v>0.53</v>
      </c>
      <c r="R327" s="36">
        <v>0.53</v>
      </c>
      <c r="S327" s="36">
        <v>0</v>
      </c>
      <c r="T327" s="36">
        <v>1.43E-2</v>
      </c>
      <c r="U327" s="86">
        <v>23.2</v>
      </c>
      <c r="V327" s="307">
        <v>23</v>
      </c>
      <c r="W327" s="36">
        <v>11.1</v>
      </c>
      <c r="X327" s="36">
        <v>11.9</v>
      </c>
      <c r="Y327" s="36">
        <v>0.20899999999999999</v>
      </c>
      <c r="Z327" s="72">
        <v>4.75</v>
      </c>
      <c r="AA327" s="77">
        <v>2.38</v>
      </c>
      <c r="AB327" s="73">
        <v>2.37</v>
      </c>
      <c r="AC327" s="308">
        <v>0</v>
      </c>
      <c r="AD327" s="109" t="s">
        <v>2434</v>
      </c>
      <c r="AE327" s="30" t="s">
        <v>2435</v>
      </c>
    </row>
    <row r="328" spans="1:31" s="305" customFormat="1">
      <c r="A328" s="405" t="s">
        <v>2436</v>
      </c>
      <c r="B328" s="217" t="s">
        <v>2437</v>
      </c>
      <c r="C328" s="45" t="s">
        <v>2438</v>
      </c>
      <c r="D328" s="131" t="s">
        <v>2432</v>
      </c>
      <c r="E328" s="30" t="s">
        <v>2433</v>
      </c>
      <c r="F328" s="71">
        <v>910</v>
      </c>
      <c r="G328" s="47" t="s">
        <v>268</v>
      </c>
      <c r="H328" s="33">
        <v>6050</v>
      </c>
      <c r="I328" s="85">
        <v>3600</v>
      </c>
      <c r="J328" s="34">
        <v>2450</v>
      </c>
      <c r="K328" s="86">
        <v>23.2</v>
      </c>
      <c r="L328" s="307">
        <v>22.9</v>
      </c>
      <c r="M328" s="39">
        <v>11</v>
      </c>
      <c r="N328" s="39">
        <v>11.9</v>
      </c>
      <c r="O328" s="36">
        <v>0.223</v>
      </c>
      <c r="P328" s="86">
        <v>0.42799999999999999</v>
      </c>
      <c r="Q328" s="307">
        <v>0.41299999999999998</v>
      </c>
      <c r="R328" s="36">
        <v>0.41299999999999998</v>
      </c>
      <c r="S328" s="36">
        <v>0</v>
      </c>
      <c r="T328" s="36">
        <v>1.43E-2</v>
      </c>
      <c r="U328" s="86">
        <v>22.7</v>
      </c>
      <c r="V328" s="307">
        <v>22.5</v>
      </c>
      <c r="W328" s="36">
        <v>10.6</v>
      </c>
      <c r="X328" s="36">
        <v>11.9</v>
      </c>
      <c r="Y328" s="36">
        <v>0.20899999999999999</v>
      </c>
      <c r="Z328" s="72">
        <v>4.78</v>
      </c>
      <c r="AA328" s="77">
        <v>2.4</v>
      </c>
      <c r="AB328" s="73">
        <v>2.37</v>
      </c>
      <c r="AC328" s="308">
        <v>0</v>
      </c>
      <c r="AD328" s="109" t="s">
        <v>2439</v>
      </c>
      <c r="AE328" s="30" t="s">
        <v>2435</v>
      </c>
    </row>
    <row r="329" spans="1:31" s="305" customFormat="1">
      <c r="A329" s="405" t="s">
        <v>674</v>
      </c>
      <c r="B329" s="217" t="s">
        <v>2440</v>
      </c>
      <c r="C329" s="45" t="s">
        <v>2441</v>
      </c>
      <c r="D329" s="30" t="s">
        <v>2442</v>
      </c>
      <c r="E329" s="30" t="s">
        <v>2443</v>
      </c>
      <c r="F329" s="71">
        <v>1390</v>
      </c>
      <c r="G329" s="47" t="s">
        <v>268</v>
      </c>
      <c r="H329" s="33">
        <v>6240</v>
      </c>
      <c r="I329" s="85">
        <v>3880</v>
      </c>
      <c r="J329" s="34">
        <v>2370</v>
      </c>
      <c r="K329" s="86">
        <v>20.2</v>
      </c>
      <c r="L329" s="307">
        <v>19</v>
      </c>
      <c r="M329" s="39">
        <v>12.9</v>
      </c>
      <c r="N329" s="39">
        <v>6.02</v>
      </c>
      <c r="O329" s="36">
        <v>1.2</v>
      </c>
      <c r="P329" s="86">
        <v>0.64600000000000002</v>
      </c>
      <c r="Q329" s="307">
        <v>0.54300000000000004</v>
      </c>
      <c r="R329" s="36">
        <v>0.54300000000000004</v>
      </c>
      <c r="S329" s="36">
        <v>0</v>
      </c>
      <c r="T329" s="36">
        <v>0.10299999999999999</v>
      </c>
      <c r="U329" s="86">
        <v>19.5</v>
      </c>
      <c r="V329" s="307">
        <v>18.399999999999999</v>
      </c>
      <c r="W329" s="36">
        <v>12.4</v>
      </c>
      <c r="X329" s="36">
        <v>6.02</v>
      </c>
      <c r="Y329" s="36">
        <v>1.1000000000000001</v>
      </c>
      <c r="Z329" s="72">
        <v>4.49</v>
      </c>
      <c r="AA329" s="77">
        <v>2.38</v>
      </c>
      <c r="AB329" s="73">
        <v>2.1</v>
      </c>
      <c r="AC329" s="308">
        <v>0</v>
      </c>
      <c r="AD329" s="109" t="s">
        <v>2444</v>
      </c>
      <c r="AE329" s="30" t="s">
        <v>2445</v>
      </c>
    </row>
    <row r="330" spans="1:31" s="305" customFormat="1" ht="14.25">
      <c r="A330" s="298" t="s">
        <v>2446</v>
      </c>
      <c r="B330" s="691"/>
      <c r="C330" s="41" t="s">
        <v>2447</v>
      </c>
      <c r="D330" s="40"/>
      <c r="E330" s="41"/>
      <c r="F330" s="42" t="s">
        <v>1429</v>
      </c>
      <c r="G330" s="43"/>
      <c r="H330" s="327"/>
      <c r="I330" s="299"/>
      <c r="J330" s="327"/>
      <c r="K330" s="410"/>
      <c r="L330" s="411"/>
      <c r="M330" s="312"/>
      <c r="N330" s="312"/>
      <c r="O330" s="412"/>
      <c r="P330" s="412"/>
      <c r="Q330" s="411"/>
      <c r="R330" s="312"/>
      <c r="S330" s="312"/>
      <c r="T330" s="411"/>
      <c r="U330" s="412"/>
      <c r="V330" s="411"/>
      <c r="W330" s="312"/>
      <c r="X330" s="312"/>
      <c r="Y330" s="312"/>
      <c r="Z330" s="378"/>
      <c r="AA330" s="301"/>
      <c r="AB330" s="372"/>
      <c r="AC330" s="372"/>
      <c r="AD330" s="304" t="s">
        <v>2448</v>
      </c>
      <c r="AE330" s="41"/>
    </row>
    <row r="331" spans="1:31" s="305" customFormat="1" ht="14.25">
      <c r="A331" s="405" t="s">
        <v>2449</v>
      </c>
      <c r="B331" s="217" t="s">
        <v>2450</v>
      </c>
      <c r="C331" s="45" t="s">
        <v>2451</v>
      </c>
      <c r="D331" s="45" t="s">
        <v>2452</v>
      </c>
      <c r="E331" s="30" t="s">
        <v>2453</v>
      </c>
      <c r="F331" s="78">
        <v>0.3</v>
      </c>
      <c r="G331" s="47" t="s">
        <v>1019</v>
      </c>
      <c r="H331" s="33">
        <v>2260</v>
      </c>
      <c r="I331" s="85">
        <v>2190</v>
      </c>
      <c r="J331" s="34">
        <v>70.7</v>
      </c>
      <c r="K331" s="86">
        <v>7.02</v>
      </c>
      <c r="L331" s="307">
        <v>7.01</v>
      </c>
      <c r="M331" s="39">
        <v>6.1</v>
      </c>
      <c r="N331" s="39">
        <v>0.90500000000000003</v>
      </c>
      <c r="O331" s="36">
        <v>1.7399999999999999E-2</v>
      </c>
      <c r="P331" s="86">
        <v>0.45200000000000001</v>
      </c>
      <c r="Q331" s="307">
        <v>0.45100000000000001</v>
      </c>
      <c r="R331" s="36">
        <v>0.45100000000000001</v>
      </c>
      <c r="S331" s="36">
        <v>0</v>
      </c>
      <c r="T331" s="36">
        <v>6.7400000000000001E-4</v>
      </c>
      <c r="U331" s="86">
        <v>6.57</v>
      </c>
      <c r="V331" s="307">
        <v>6.55</v>
      </c>
      <c r="W331" s="36">
        <v>5.65</v>
      </c>
      <c r="X331" s="36">
        <v>0.90500000000000003</v>
      </c>
      <c r="Y331" s="36">
        <v>1.67E-2</v>
      </c>
      <c r="Z331" s="50">
        <v>0.97499999999999998</v>
      </c>
      <c r="AA331" s="78">
        <v>0.91900000000000004</v>
      </c>
      <c r="AB331" s="31">
        <v>5.62E-2</v>
      </c>
      <c r="AC331" s="308">
        <v>0</v>
      </c>
      <c r="AD331" s="109" t="s">
        <v>2454</v>
      </c>
      <c r="AE331" s="30" t="s">
        <v>2455</v>
      </c>
    </row>
    <row r="332" spans="1:31" s="305" customFormat="1" ht="14.25">
      <c r="A332" s="405" t="s">
        <v>647</v>
      </c>
      <c r="B332" s="217" t="s">
        <v>2456</v>
      </c>
      <c r="C332" s="45" t="s">
        <v>2457</v>
      </c>
      <c r="D332" s="45" t="s">
        <v>2452</v>
      </c>
      <c r="E332" s="30" t="s">
        <v>2453</v>
      </c>
      <c r="F332" s="78">
        <v>0.3</v>
      </c>
      <c r="G332" s="47" t="s">
        <v>1019</v>
      </c>
      <c r="H332" s="33">
        <v>1220</v>
      </c>
      <c r="I332" s="85">
        <v>1150</v>
      </c>
      <c r="J332" s="34">
        <v>70.7</v>
      </c>
      <c r="K332" s="86">
        <v>4.3099999999999996</v>
      </c>
      <c r="L332" s="307">
        <v>4.29</v>
      </c>
      <c r="M332" s="39">
        <v>3.39</v>
      </c>
      <c r="N332" s="39">
        <v>0.90500000000000003</v>
      </c>
      <c r="O332" s="36">
        <v>1.7399999999999999E-2</v>
      </c>
      <c r="P332" s="86">
        <v>0.14299999999999999</v>
      </c>
      <c r="Q332" s="307">
        <v>0.14299999999999999</v>
      </c>
      <c r="R332" s="36">
        <v>0.14299999999999999</v>
      </c>
      <c r="S332" s="36">
        <v>0</v>
      </c>
      <c r="T332" s="36">
        <v>6.7400000000000001E-4</v>
      </c>
      <c r="U332" s="86">
        <v>4.17</v>
      </c>
      <c r="V332" s="307">
        <v>4.1500000000000004</v>
      </c>
      <c r="W332" s="36">
        <v>3.25</v>
      </c>
      <c r="X332" s="36">
        <v>0.90500000000000003</v>
      </c>
      <c r="Y332" s="36">
        <v>1.67E-2</v>
      </c>
      <c r="Z332" s="50">
        <v>0.70099999999999996</v>
      </c>
      <c r="AA332" s="78">
        <v>0.64500000000000002</v>
      </c>
      <c r="AB332" s="31">
        <v>5.62E-2</v>
      </c>
      <c r="AC332" s="308">
        <v>0</v>
      </c>
      <c r="AD332" s="109" t="s">
        <v>283</v>
      </c>
      <c r="AE332" s="30" t="s">
        <v>2455</v>
      </c>
    </row>
    <row r="333" spans="1:31" s="305" customFormat="1" ht="14.25">
      <c r="A333" s="405" t="s">
        <v>576</v>
      </c>
      <c r="B333" s="217" t="s">
        <v>2458</v>
      </c>
      <c r="C333" s="45" t="s">
        <v>2459</v>
      </c>
      <c r="D333" s="30" t="s">
        <v>2460</v>
      </c>
      <c r="E333" s="30" t="s">
        <v>2461</v>
      </c>
      <c r="F333" s="78">
        <v>0.25</v>
      </c>
      <c r="G333" s="47" t="s">
        <v>1019</v>
      </c>
      <c r="H333" s="33">
        <v>428</v>
      </c>
      <c r="I333" s="85">
        <v>369</v>
      </c>
      <c r="J333" s="34">
        <v>59</v>
      </c>
      <c r="K333" s="72">
        <v>1.87</v>
      </c>
      <c r="L333" s="307">
        <v>1.85</v>
      </c>
      <c r="M333" s="39">
        <v>0.72199999999999998</v>
      </c>
      <c r="N333" s="39">
        <v>1.1299999999999999</v>
      </c>
      <c r="O333" s="36">
        <v>1.4500000000000001E-2</v>
      </c>
      <c r="P333" s="72">
        <v>1.7299999999999999E-2</v>
      </c>
      <c r="Q333" s="307">
        <v>1.67E-2</v>
      </c>
      <c r="R333" s="36">
        <v>1.67E-2</v>
      </c>
      <c r="S333" s="36">
        <v>0</v>
      </c>
      <c r="T333" s="36">
        <v>5.62E-4</v>
      </c>
      <c r="U333" s="86">
        <v>1.85</v>
      </c>
      <c r="V333" s="307">
        <v>1.84</v>
      </c>
      <c r="W333" s="36">
        <v>0.70499999999999996</v>
      </c>
      <c r="X333" s="36">
        <v>1.1299999999999999</v>
      </c>
      <c r="Y333" s="36">
        <v>1.4E-2</v>
      </c>
      <c r="Z333" s="50">
        <v>0.18099999999999999</v>
      </c>
      <c r="AA333" s="78">
        <v>0.13400000000000001</v>
      </c>
      <c r="AB333" s="31">
        <v>4.6800000000000001E-2</v>
      </c>
      <c r="AC333" s="308">
        <v>0</v>
      </c>
      <c r="AD333" s="109" t="s">
        <v>287</v>
      </c>
      <c r="AE333" s="30" t="s">
        <v>2462</v>
      </c>
    </row>
    <row r="334" spans="1:31" s="305" customFormat="1" ht="14.25">
      <c r="A334" s="405" t="s">
        <v>2463</v>
      </c>
      <c r="B334" s="217" t="s">
        <v>2464</v>
      </c>
      <c r="C334" s="45" t="s">
        <v>2465</v>
      </c>
      <c r="D334" s="45" t="s">
        <v>1012</v>
      </c>
      <c r="E334" s="45" t="s">
        <v>2466</v>
      </c>
      <c r="F334" s="78" t="s">
        <v>1012</v>
      </c>
      <c r="G334" s="47" t="s">
        <v>1019</v>
      </c>
      <c r="H334" s="84">
        <v>16400</v>
      </c>
      <c r="I334" s="85">
        <v>16400</v>
      </c>
      <c r="J334" s="85">
        <v>0</v>
      </c>
      <c r="K334" s="90">
        <v>47.6</v>
      </c>
      <c r="L334" s="307">
        <v>47.6</v>
      </c>
      <c r="M334" s="39">
        <v>47.6</v>
      </c>
      <c r="N334" s="39">
        <v>0</v>
      </c>
      <c r="O334" s="307">
        <v>0</v>
      </c>
      <c r="P334" s="90">
        <v>4.16</v>
      </c>
      <c r="Q334" s="307">
        <v>4.16</v>
      </c>
      <c r="R334" s="36">
        <v>4.16</v>
      </c>
      <c r="S334" s="36">
        <v>0</v>
      </c>
      <c r="T334" s="307">
        <v>0</v>
      </c>
      <c r="U334" s="90">
        <v>43.5</v>
      </c>
      <c r="V334" s="307">
        <v>43.5</v>
      </c>
      <c r="W334" s="36">
        <v>43.5</v>
      </c>
      <c r="X334" s="36">
        <v>0</v>
      </c>
      <c r="Y334" s="307">
        <v>0</v>
      </c>
      <c r="Z334" s="76">
        <v>8.11</v>
      </c>
      <c r="AA334" s="77">
        <v>8.11</v>
      </c>
      <c r="AB334" s="47">
        <v>0</v>
      </c>
      <c r="AC334" s="308">
        <v>0</v>
      </c>
      <c r="AD334" s="109" t="s">
        <v>2467</v>
      </c>
      <c r="AE334" s="45" t="s">
        <v>2468</v>
      </c>
    </row>
    <row r="335" spans="1:31" s="305" customFormat="1" ht="14.25">
      <c r="A335" s="405" t="s">
        <v>2469</v>
      </c>
      <c r="B335" s="217" t="s">
        <v>2470</v>
      </c>
      <c r="C335" s="45" t="s">
        <v>2471</v>
      </c>
      <c r="D335" s="45" t="s">
        <v>1012</v>
      </c>
      <c r="E335" s="45" t="s">
        <v>2466</v>
      </c>
      <c r="F335" s="78" t="s">
        <v>1012</v>
      </c>
      <c r="G335" s="47" t="s">
        <v>1019</v>
      </c>
      <c r="H335" s="84">
        <v>6260</v>
      </c>
      <c r="I335" s="85">
        <v>6260</v>
      </c>
      <c r="J335" s="85">
        <v>0</v>
      </c>
      <c r="K335" s="81">
        <v>17.2</v>
      </c>
      <c r="L335" s="307">
        <v>17.2</v>
      </c>
      <c r="M335" s="39">
        <v>17.2</v>
      </c>
      <c r="N335" s="39">
        <v>0</v>
      </c>
      <c r="O335" s="307">
        <v>0</v>
      </c>
      <c r="P335" s="81">
        <v>0.59899999999999998</v>
      </c>
      <c r="Q335" s="307">
        <v>0.59899999999999998</v>
      </c>
      <c r="R335" s="36">
        <v>0.59899999999999998</v>
      </c>
      <c r="S335" s="36">
        <v>0</v>
      </c>
      <c r="T335" s="307">
        <v>0</v>
      </c>
      <c r="U335" s="81">
        <v>16.600000000000001</v>
      </c>
      <c r="V335" s="307">
        <v>16.600000000000001</v>
      </c>
      <c r="W335" s="36">
        <v>16.600000000000001</v>
      </c>
      <c r="X335" s="36">
        <v>0</v>
      </c>
      <c r="Y335" s="307">
        <v>0</v>
      </c>
      <c r="Z335" s="76">
        <v>3.64</v>
      </c>
      <c r="AA335" s="77">
        <v>3.64</v>
      </c>
      <c r="AB335" s="47">
        <v>0</v>
      </c>
      <c r="AC335" s="308">
        <v>0</v>
      </c>
      <c r="AD335" s="109" t="s">
        <v>2472</v>
      </c>
      <c r="AE335" s="45" t="s">
        <v>2473</v>
      </c>
    </row>
    <row r="336" spans="1:31" s="305" customFormat="1" ht="14.25">
      <c r="A336" s="405" t="s">
        <v>901</v>
      </c>
      <c r="B336" s="217" t="s">
        <v>2474</v>
      </c>
      <c r="C336" s="45" t="s">
        <v>2475</v>
      </c>
      <c r="D336" s="45" t="s">
        <v>1012</v>
      </c>
      <c r="E336" s="45" t="s">
        <v>2466</v>
      </c>
      <c r="F336" s="78" t="s">
        <v>1012</v>
      </c>
      <c r="G336" s="47" t="s">
        <v>1019</v>
      </c>
      <c r="H336" s="84">
        <v>6760</v>
      </c>
      <c r="I336" s="85">
        <v>6760</v>
      </c>
      <c r="J336" s="85">
        <v>0</v>
      </c>
      <c r="K336" s="81">
        <v>21.8</v>
      </c>
      <c r="L336" s="307">
        <v>21.8</v>
      </c>
      <c r="M336" s="39">
        <v>21.8</v>
      </c>
      <c r="N336" s="39">
        <v>0</v>
      </c>
      <c r="O336" s="307">
        <v>0</v>
      </c>
      <c r="P336" s="81">
        <v>0.72099999999999997</v>
      </c>
      <c r="Q336" s="307">
        <v>0.72099999999999997</v>
      </c>
      <c r="R336" s="36">
        <v>0.72099999999999997</v>
      </c>
      <c r="S336" s="36">
        <v>0</v>
      </c>
      <c r="T336" s="307">
        <v>0</v>
      </c>
      <c r="U336" s="81">
        <v>21.1</v>
      </c>
      <c r="V336" s="307">
        <v>21.1</v>
      </c>
      <c r="W336" s="36">
        <v>21.1</v>
      </c>
      <c r="X336" s="36">
        <v>0</v>
      </c>
      <c r="Y336" s="307">
        <v>0</v>
      </c>
      <c r="Z336" s="76">
        <v>4.38</v>
      </c>
      <c r="AA336" s="77">
        <v>4.38</v>
      </c>
      <c r="AB336" s="47">
        <v>0</v>
      </c>
      <c r="AC336" s="308">
        <v>0</v>
      </c>
      <c r="AD336" s="109" t="s">
        <v>2476</v>
      </c>
      <c r="AE336" s="45" t="s">
        <v>2473</v>
      </c>
    </row>
    <row r="337" spans="1:31" s="305" customFormat="1" ht="14.25">
      <c r="A337" s="405" t="s">
        <v>2477</v>
      </c>
      <c r="B337" s="217" t="s">
        <v>2478</v>
      </c>
      <c r="C337" s="45" t="s">
        <v>2479</v>
      </c>
      <c r="D337" s="45" t="s">
        <v>1012</v>
      </c>
      <c r="E337" s="45" t="s">
        <v>2466</v>
      </c>
      <c r="F337" s="78" t="s">
        <v>1012</v>
      </c>
      <c r="G337" s="47" t="s">
        <v>1019</v>
      </c>
      <c r="H337" s="84">
        <v>6320</v>
      </c>
      <c r="I337" s="85">
        <v>6320</v>
      </c>
      <c r="J337" s="85">
        <v>0</v>
      </c>
      <c r="K337" s="81">
        <v>5.33</v>
      </c>
      <c r="L337" s="307">
        <v>5.33</v>
      </c>
      <c r="M337" s="39">
        <v>5.33</v>
      </c>
      <c r="N337" s="39">
        <v>0</v>
      </c>
      <c r="O337" s="307">
        <v>0</v>
      </c>
      <c r="P337" s="81">
        <v>0.876</v>
      </c>
      <c r="Q337" s="307">
        <v>0.876</v>
      </c>
      <c r="R337" s="36">
        <v>0.876</v>
      </c>
      <c r="S337" s="36">
        <v>0</v>
      </c>
      <c r="T337" s="307">
        <v>0</v>
      </c>
      <c r="U337" s="81">
        <v>4.45</v>
      </c>
      <c r="V337" s="307">
        <v>4.45</v>
      </c>
      <c r="W337" s="36">
        <v>4.45</v>
      </c>
      <c r="X337" s="36">
        <v>0</v>
      </c>
      <c r="Y337" s="307">
        <v>0</v>
      </c>
      <c r="Z337" s="79">
        <v>0.60899999999999999</v>
      </c>
      <c r="AA337" s="78">
        <v>0.60899999999999999</v>
      </c>
      <c r="AB337" s="47">
        <v>0</v>
      </c>
      <c r="AC337" s="308">
        <v>0</v>
      </c>
      <c r="AD337" s="109" t="s">
        <v>2480</v>
      </c>
      <c r="AE337" s="45" t="s">
        <v>2473</v>
      </c>
    </row>
    <row r="338" spans="1:31" s="305" customFormat="1" ht="14.25">
      <c r="A338" s="405" t="s">
        <v>2481</v>
      </c>
      <c r="B338" s="217" t="s">
        <v>2482</v>
      </c>
      <c r="C338" s="45" t="s">
        <v>2483</v>
      </c>
      <c r="D338" s="45" t="s">
        <v>1012</v>
      </c>
      <c r="E338" s="45" t="s">
        <v>2466</v>
      </c>
      <c r="F338" s="78" t="s">
        <v>1012</v>
      </c>
      <c r="G338" s="47" t="s">
        <v>1019</v>
      </c>
      <c r="H338" s="84">
        <v>29500</v>
      </c>
      <c r="I338" s="85">
        <v>29500</v>
      </c>
      <c r="J338" s="85">
        <v>0</v>
      </c>
      <c r="K338" s="90">
        <v>28.2</v>
      </c>
      <c r="L338" s="307">
        <v>28.2</v>
      </c>
      <c r="M338" s="39">
        <v>28.2</v>
      </c>
      <c r="N338" s="39">
        <v>0</v>
      </c>
      <c r="O338" s="307">
        <v>0</v>
      </c>
      <c r="P338" s="90">
        <v>2.65</v>
      </c>
      <c r="Q338" s="307">
        <v>2.65</v>
      </c>
      <c r="R338" s="36">
        <v>2.65</v>
      </c>
      <c r="S338" s="36">
        <v>0</v>
      </c>
      <c r="T338" s="307">
        <v>0</v>
      </c>
      <c r="U338" s="81">
        <v>25.5</v>
      </c>
      <c r="V338" s="307">
        <v>25.5</v>
      </c>
      <c r="W338" s="36">
        <v>25.5</v>
      </c>
      <c r="X338" s="36">
        <v>0</v>
      </c>
      <c r="Y338" s="307">
        <v>0</v>
      </c>
      <c r="Z338" s="76">
        <v>6.09</v>
      </c>
      <c r="AA338" s="77">
        <v>6.09</v>
      </c>
      <c r="AB338" s="47">
        <v>0</v>
      </c>
      <c r="AC338" s="308">
        <v>0</v>
      </c>
      <c r="AD338" s="45" t="s">
        <v>2484</v>
      </c>
      <c r="AE338" s="45" t="s">
        <v>2468</v>
      </c>
    </row>
    <row r="339" spans="1:31" s="305" customFormat="1" ht="14.25">
      <c r="A339" s="298" t="s">
        <v>2485</v>
      </c>
      <c r="B339" s="691"/>
      <c r="C339" s="41" t="s">
        <v>2486</v>
      </c>
      <c r="D339" s="40"/>
      <c r="E339" s="41"/>
      <c r="F339" s="42" t="s">
        <v>1173</v>
      </c>
      <c r="G339" s="43"/>
      <c r="H339" s="299"/>
      <c r="I339" s="299"/>
      <c r="J339" s="299"/>
      <c r="K339" s="300"/>
      <c r="L339" s="300"/>
      <c r="M339" s="312"/>
      <c r="N339" s="312"/>
      <c r="O339" s="411"/>
      <c r="P339" s="411"/>
      <c r="Q339" s="411"/>
      <c r="R339" s="312"/>
      <c r="S339" s="312"/>
      <c r="T339" s="411"/>
      <c r="U339" s="411"/>
      <c r="V339" s="411"/>
      <c r="W339" s="312"/>
      <c r="X339" s="312"/>
      <c r="Y339" s="409"/>
      <c r="Z339" s="358"/>
      <c r="AA339" s="379"/>
      <c r="AB339" s="379"/>
      <c r="AC339" s="379"/>
      <c r="AD339" s="304" t="s">
        <v>2487</v>
      </c>
      <c r="AE339" s="41"/>
    </row>
    <row r="340" spans="1:31" s="305" customFormat="1">
      <c r="A340" s="405" t="s">
        <v>2488</v>
      </c>
      <c r="B340" s="217" t="s">
        <v>2489</v>
      </c>
      <c r="C340" s="45" t="s">
        <v>2490</v>
      </c>
      <c r="D340" s="30" t="s">
        <v>2491</v>
      </c>
      <c r="E340" s="30" t="s">
        <v>2492</v>
      </c>
      <c r="F340" s="71">
        <v>1180</v>
      </c>
      <c r="G340" s="47" t="s">
        <v>268</v>
      </c>
      <c r="H340" s="33">
        <v>14800</v>
      </c>
      <c r="I340" s="85">
        <v>11700</v>
      </c>
      <c r="J340" s="34">
        <v>3090</v>
      </c>
      <c r="K340" s="38">
        <v>40.5</v>
      </c>
      <c r="L340" s="307">
        <v>40.299999999999997</v>
      </c>
      <c r="M340" s="39">
        <v>32.700000000000003</v>
      </c>
      <c r="N340" s="36">
        <v>7.6</v>
      </c>
      <c r="O340" s="36">
        <v>0.224</v>
      </c>
      <c r="P340" s="38">
        <v>0.38500000000000001</v>
      </c>
      <c r="Q340" s="307">
        <v>0.371</v>
      </c>
      <c r="R340" s="36">
        <v>0.371</v>
      </c>
      <c r="S340" s="36">
        <v>0</v>
      </c>
      <c r="T340" s="36">
        <v>1.37E-2</v>
      </c>
      <c r="U340" s="38">
        <v>40.200000000000003</v>
      </c>
      <c r="V340" s="307">
        <v>40</v>
      </c>
      <c r="W340" s="36">
        <v>32.4</v>
      </c>
      <c r="X340" s="36">
        <v>7.6</v>
      </c>
      <c r="Y340" s="36">
        <v>0.21</v>
      </c>
      <c r="Z340" s="86">
        <v>11.6</v>
      </c>
      <c r="AA340" s="77">
        <v>8.68</v>
      </c>
      <c r="AB340" s="73">
        <v>2.92</v>
      </c>
      <c r="AC340" s="308">
        <v>0</v>
      </c>
      <c r="AD340" s="109" t="s">
        <v>2493</v>
      </c>
      <c r="AE340" s="30" t="s">
        <v>2494</v>
      </c>
    </row>
    <row r="341" spans="1:31" s="305" customFormat="1">
      <c r="A341" s="405" t="s">
        <v>640</v>
      </c>
      <c r="B341" s="217" t="s">
        <v>2495</v>
      </c>
      <c r="C341" s="45" t="s">
        <v>2496</v>
      </c>
      <c r="D341" s="30" t="s">
        <v>2497</v>
      </c>
      <c r="E341" s="30" t="s">
        <v>2498</v>
      </c>
      <c r="F341" s="71">
        <v>1360</v>
      </c>
      <c r="G341" s="47" t="s">
        <v>268</v>
      </c>
      <c r="H341" s="33">
        <v>15200</v>
      </c>
      <c r="I341" s="85">
        <v>12300</v>
      </c>
      <c r="J341" s="34">
        <v>2910</v>
      </c>
      <c r="K341" s="38">
        <v>41.3</v>
      </c>
      <c r="L341" s="307">
        <v>40.6</v>
      </c>
      <c r="M341" s="39">
        <v>36.6</v>
      </c>
      <c r="N341" s="36">
        <v>3.96</v>
      </c>
      <c r="O341" s="36">
        <v>0.70699999999999996</v>
      </c>
      <c r="P341" s="38">
        <v>0.999</v>
      </c>
      <c r="Q341" s="307">
        <v>0.97899999999999998</v>
      </c>
      <c r="R341" s="36">
        <v>0.97899999999999998</v>
      </c>
      <c r="S341" s="36">
        <v>0</v>
      </c>
      <c r="T341" s="36">
        <v>1.9800000000000002E-2</v>
      </c>
      <c r="U341" s="38">
        <v>40.299999999999997</v>
      </c>
      <c r="V341" s="307">
        <v>39.6</v>
      </c>
      <c r="W341" s="36">
        <v>35.6</v>
      </c>
      <c r="X341" s="36">
        <v>3.96</v>
      </c>
      <c r="Y341" s="36">
        <v>0.68700000000000006</v>
      </c>
      <c r="Z341" s="72">
        <v>11.5</v>
      </c>
      <c r="AA341" s="77">
        <v>8.89</v>
      </c>
      <c r="AB341" s="31">
        <v>2.62</v>
      </c>
      <c r="AC341" s="308">
        <v>0</v>
      </c>
      <c r="AD341" s="109" t="s">
        <v>2499</v>
      </c>
      <c r="AE341" s="30" t="s">
        <v>2500</v>
      </c>
    </row>
    <row r="342" spans="1:31" s="305" customFormat="1">
      <c r="A342" s="405" t="s">
        <v>2501</v>
      </c>
      <c r="B342" s="217" t="s">
        <v>2502</v>
      </c>
      <c r="C342" s="45" t="s">
        <v>2503</v>
      </c>
      <c r="D342" s="30" t="s">
        <v>2491</v>
      </c>
      <c r="E342" s="30" t="s">
        <v>2492</v>
      </c>
      <c r="F342" s="71">
        <v>1200</v>
      </c>
      <c r="G342" s="47" t="s">
        <v>268</v>
      </c>
      <c r="H342" s="33">
        <v>15900</v>
      </c>
      <c r="I342" s="85">
        <v>12800</v>
      </c>
      <c r="J342" s="34">
        <v>3090</v>
      </c>
      <c r="K342" s="38">
        <v>32.200000000000003</v>
      </c>
      <c r="L342" s="307">
        <v>32</v>
      </c>
      <c r="M342" s="39">
        <v>26</v>
      </c>
      <c r="N342" s="36">
        <v>6</v>
      </c>
      <c r="O342" s="36">
        <v>0.224</v>
      </c>
      <c r="P342" s="38">
        <v>0.42599999999999999</v>
      </c>
      <c r="Q342" s="307">
        <v>0.41199999999999998</v>
      </c>
      <c r="R342" s="36">
        <v>0.41199999999999998</v>
      </c>
      <c r="S342" s="36">
        <v>0</v>
      </c>
      <c r="T342" s="36">
        <v>1.37E-2</v>
      </c>
      <c r="U342" s="38">
        <v>31.8</v>
      </c>
      <c r="V342" s="307">
        <v>31.6</v>
      </c>
      <c r="W342" s="36">
        <v>25.6</v>
      </c>
      <c r="X342" s="36">
        <v>6</v>
      </c>
      <c r="Y342" s="36">
        <v>0.21</v>
      </c>
      <c r="Z342" s="86">
        <v>11.4</v>
      </c>
      <c r="AA342" s="77">
        <v>8.49</v>
      </c>
      <c r="AB342" s="73">
        <v>2.92</v>
      </c>
      <c r="AC342" s="308">
        <v>0</v>
      </c>
      <c r="AD342" s="109" t="s">
        <v>2504</v>
      </c>
      <c r="AE342" s="30" t="s">
        <v>2494</v>
      </c>
    </row>
    <row r="343" spans="1:31" s="305" customFormat="1">
      <c r="A343" s="405" t="s">
        <v>2505</v>
      </c>
      <c r="B343" s="217" t="s">
        <v>2506</v>
      </c>
      <c r="C343" s="45" t="s">
        <v>2507</v>
      </c>
      <c r="D343" s="30" t="s">
        <v>2491</v>
      </c>
      <c r="E343" s="30" t="s">
        <v>2492</v>
      </c>
      <c r="F343" s="71">
        <v>1500</v>
      </c>
      <c r="G343" s="47" t="s">
        <v>268</v>
      </c>
      <c r="H343" s="33">
        <v>13800</v>
      </c>
      <c r="I343" s="85">
        <v>10700</v>
      </c>
      <c r="J343" s="34">
        <v>3090</v>
      </c>
      <c r="K343" s="86">
        <v>32.9</v>
      </c>
      <c r="L343" s="307">
        <v>32.6</v>
      </c>
      <c r="M343" s="39">
        <v>28.9</v>
      </c>
      <c r="N343" s="36">
        <v>3.76</v>
      </c>
      <c r="O343" s="36">
        <v>0.224</v>
      </c>
      <c r="P343" s="86">
        <v>1.51</v>
      </c>
      <c r="Q343" s="307">
        <v>1.5</v>
      </c>
      <c r="R343" s="36">
        <v>1.5</v>
      </c>
      <c r="S343" s="36">
        <v>0</v>
      </c>
      <c r="T343" s="36">
        <v>1.37E-2</v>
      </c>
      <c r="U343" s="86">
        <v>31.3</v>
      </c>
      <c r="V343" s="307">
        <v>31.1</v>
      </c>
      <c r="W343" s="36">
        <v>27.4</v>
      </c>
      <c r="X343" s="36">
        <v>3.76</v>
      </c>
      <c r="Y343" s="36">
        <v>0.21</v>
      </c>
      <c r="Z343" s="72">
        <v>9.84</v>
      </c>
      <c r="AA343" s="77">
        <v>6.92</v>
      </c>
      <c r="AB343" s="31">
        <v>2.92</v>
      </c>
      <c r="AC343" s="308">
        <v>0</v>
      </c>
      <c r="AD343" s="109" t="s">
        <v>2508</v>
      </c>
      <c r="AE343" s="30" t="s">
        <v>2494</v>
      </c>
    </row>
    <row r="344" spans="1:31">
      <c r="A344" s="405" t="s">
        <v>2509</v>
      </c>
      <c r="B344" s="217" t="s">
        <v>2510</v>
      </c>
      <c r="C344" s="45" t="s">
        <v>2511</v>
      </c>
      <c r="D344" s="30" t="s">
        <v>2512</v>
      </c>
      <c r="E344" s="30" t="s">
        <v>2513</v>
      </c>
      <c r="F344" s="71">
        <v>1050</v>
      </c>
      <c r="G344" s="47" t="s">
        <v>268</v>
      </c>
      <c r="H344" s="33">
        <v>8170</v>
      </c>
      <c r="I344" s="85">
        <v>4880</v>
      </c>
      <c r="J344" s="34">
        <v>3280</v>
      </c>
      <c r="K344" s="38">
        <v>24.7</v>
      </c>
      <c r="L344" s="307">
        <v>24.5</v>
      </c>
      <c r="M344" s="39">
        <v>13.7</v>
      </c>
      <c r="N344" s="39">
        <v>10.8</v>
      </c>
      <c r="O344" s="36">
        <v>0.222</v>
      </c>
      <c r="P344" s="38">
        <v>0.111</v>
      </c>
      <c r="Q344" s="307">
        <v>9.7100000000000006E-2</v>
      </c>
      <c r="R344" s="36">
        <v>9.7100000000000006E-2</v>
      </c>
      <c r="S344" s="36">
        <v>0</v>
      </c>
      <c r="T344" s="36">
        <v>1.35E-2</v>
      </c>
      <c r="U344" s="86">
        <v>24.6</v>
      </c>
      <c r="V344" s="307">
        <v>24.4</v>
      </c>
      <c r="W344" s="36">
        <v>13.6</v>
      </c>
      <c r="X344" s="36">
        <v>10.8</v>
      </c>
      <c r="Y344" s="36">
        <v>0.20799999999999999</v>
      </c>
      <c r="Z344" s="72">
        <v>6.72</v>
      </c>
      <c r="AA344" s="77">
        <v>3.64</v>
      </c>
      <c r="AB344" s="32">
        <v>3.08</v>
      </c>
      <c r="AC344" s="308">
        <v>0</v>
      </c>
      <c r="AD344" s="109" t="s">
        <v>2514</v>
      </c>
      <c r="AE344" s="30" t="s">
        <v>2515</v>
      </c>
    </row>
    <row r="345" spans="1:31" s="305" customFormat="1">
      <c r="A345" s="298">
        <v>21</v>
      </c>
      <c r="B345" s="691"/>
      <c r="C345" s="41" t="s">
        <v>2516</v>
      </c>
      <c r="D345" s="40"/>
      <c r="E345" s="41"/>
      <c r="F345" s="42" t="s">
        <v>1012</v>
      </c>
      <c r="G345" s="43"/>
      <c r="H345" s="327"/>
      <c r="I345" s="299"/>
      <c r="J345" s="327"/>
      <c r="K345" s="410"/>
      <c r="L345" s="300"/>
      <c r="M345" s="312"/>
      <c r="N345" s="312"/>
      <c r="O345" s="412"/>
      <c r="P345" s="412"/>
      <c r="Q345" s="411"/>
      <c r="R345" s="312"/>
      <c r="S345" s="312"/>
      <c r="T345" s="411"/>
      <c r="U345" s="412"/>
      <c r="V345" s="411"/>
      <c r="W345" s="312"/>
      <c r="X345" s="312"/>
      <c r="Y345" s="312"/>
      <c r="Z345" s="384"/>
      <c r="AA345" s="301"/>
      <c r="AB345" s="372"/>
      <c r="AC345" s="372"/>
      <c r="AD345" s="304" t="s">
        <v>2517</v>
      </c>
      <c r="AE345" s="41"/>
    </row>
    <row r="346" spans="1:31" s="305" customFormat="1">
      <c r="A346" s="306" t="s">
        <v>2518</v>
      </c>
      <c r="B346" s="217" t="s">
        <v>2519</v>
      </c>
      <c r="C346" s="45" t="s">
        <v>2520</v>
      </c>
      <c r="D346" s="45" t="s">
        <v>2521</v>
      </c>
      <c r="E346" s="30" t="s">
        <v>2522</v>
      </c>
      <c r="F346" s="78" t="s">
        <v>1012</v>
      </c>
      <c r="G346" s="123" t="s">
        <v>2523</v>
      </c>
      <c r="H346" s="33">
        <v>35300</v>
      </c>
      <c r="I346" s="85">
        <v>26600</v>
      </c>
      <c r="J346" s="34">
        <v>8760</v>
      </c>
      <c r="K346" s="38">
        <v>130</v>
      </c>
      <c r="L346" s="307">
        <v>129</v>
      </c>
      <c r="M346" s="39">
        <v>126</v>
      </c>
      <c r="N346" s="39">
        <v>3.62</v>
      </c>
      <c r="O346" s="36">
        <v>0.92600000000000005</v>
      </c>
      <c r="P346" s="38">
        <v>16.899999999999999</v>
      </c>
      <c r="Q346" s="307">
        <v>16.899999999999999</v>
      </c>
      <c r="R346" s="36">
        <v>16.899999999999999</v>
      </c>
      <c r="S346" s="36">
        <v>0</v>
      </c>
      <c r="T346" s="36">
        <v>5.3100000000000001E-2</v>
      </c>
      <c r="U346" s="38">
        <v>113</v>
      </c>
      <c r="V346" s="307">
        <v>112</v>
      </c>
      <c r="W346" s="36">
        <v>109</v>
      </c>
      <c r="X346" s="36">
        <v>3.62</v>
      </c>
      <c r="Y346" s="36">
        <v>0.873</v>
      </c>
      <c r="Z346" s="86">
        <v>24.2</v>
      </c>
      <c r="AA346" s="77">
        <v>16.100000000000001</v>
      </c>
      <c r="AB346" s="73">
        <v>8.1300000000000008</v>
      </c>
      <c r="AC346" s="308">
        <v>0</v>
      </c>
      <c r="AD346" s="109" t="s">
        <v>2524</v>
      </c>
      <c r="AE346" s="30" t="s">
        <v>2525</v>
      </c>
    </row>
    <row r="347" spans="1:31" s="305" customFormat="1" ht="14.25">
      <c r="A347" s="306" t="s">
        <v>2526</v>
      </c>
      <c r="B347" s="217" t="s">
        <v>2527</v>
      </c>
      <c r="C347" s="45" t="s">
        <v>2528</v>
      </c>
      <c r="D347" s="30" t="s">
        <v>2529</v>
      </c>
      <c r="E347" s="30" t="s">
        <v>2530</v>
      </c>
      <c r="F347" s="78" t="s">
        <v>1012</v>
      </c>
      <c r="G347" s="47" t="s">
        <v>1019</v>
      </c>
      <c r="H347" s="33">
        <v>837000</v>
      </c>
      <c r="I347" s="85">
        <v>836000</v>
      </c>
      <c r="J347" s="34">
        <v>708</v>
      </c>
      <c r="K347" s="38">
        <v>1710</v>
      </c>
      <c r="L347" s="307">
        <v>1710</v>
      </c>
      <c r="M347" s="39">
        <v>1710</v>
      </c>
      <c r="N347" s="39">
        <v>0</v>
      </c>
      <c r="O347" s="36">
        <v>1.78</v>
      </c>
      <c r="P347" s="38">
        <v>452</v>
      </c>
      <c r="Q347" s="307">
        <v>452</v>
      </c>
      <c r="R347" s="36">
        <v>452</v>
      </c>
      <c r="S347" s="36">
        <v>0</v>
      </c>
      <c r="T347" s="36">
        <v>3.7199999999999997E-2</v>
      </c>
      <c r="U347" s="38">
        <v>1260</v>
      </c>
      <c r="V347" s="307">
        <v>1260</v>
      </c>
      <c r="W347" s="36">
        <v>1260</v>
      </c>
      <c r="X347" s="36">
        <v>0</v>
      </c>
      <c r="Y347" s="36">
        <v>1.74</v>
      </c>
      <c r="Z347" s="86">
        <v>332</v>
      </c>
      <c r="AA347" s="77">
        <v>332</v>
      </c>
      <c r="AB347" s="73">
        <v>0.44400000000000001</v>
      </c>
      <c r="AC347" s="308">
        <v>0</v>
      </c>
      <c r="AD347" s="109" t="s">
        <v>2531</v>
      </c>
      <c r="AE347" s="30" t="s">
        <v>2532</v>
      </c>
    </row>
    <row r="348" spans="1:31" s="305" customFormat="1" ht="14.25">
      <c r="A348" s="306" t="s">
        <v>2533</v>
      </c>
      <c r="B348" s="217" t="s">
        <v>2534</v>
      </c>
      <c r="C348" s="45" t="s">
        <v>2535</v>
      </c>
      <c r="D348" s="45" t="s">
        <v>2536</v>
      </c>
      <c r="E348" s="30" t="s">
        <v>2537</v>
      </c>
      <c r="F348" s="78" t="s">
        <v>1012</v>
      </c>
      <c r="G348" s="47" t="s">
        <v>1019</v>
      </c>
      <c r="H348" s="33">
        <v>137000</v>
      </c>
      <c r="I348" s="85">
        <v>136000</v>
      </c>
      <c r="J348" s="34">
        <v>1420</v>
      </c>
      <c r="K348" s="38">
        <v>314</v>
      </c>
      <c r="L348" s="307">
        <v>312</v>
      </c>
      <c r="M348" s="39">
        <v>258</v>
      </c>
      <c r="N348" s="39">
        <v>54.3</v>
      </c>
      <c r="O348" s="36">
        <v>1.55</v>
      </c>
      <c r="P348" s="38">
        <v>89.2</v>
      </c>
      <c r="Q348" s="307">
        <v>89.1</v>
      </c>
      <c r="R348" s="36">
        <v>45.5</v>
      </c>
      <c r="S348" s="36">
        <v>43.7</v>
      </c>
      <c r="T348" s="36">
        <v>8.2699999999999996E-2</v>
      </c>
      <c r="U348" s="38">
        <v>224</v>
      </c>
      <c r="V348" s="307">
        <v>223</v>
      </c>
      <c r="W348" s="36">
        <v>212</v>
      </c>
      <c r="X348" s="36">
        <v>10.6</v>
      </c>
      <c r="Y348" s="36">
        <v>1.47</v>
      </c>
      <c r="Z348" s="86">
        <v>56.8</v>
      </c>
      <c r="AA348" s="77">
        <v>55.7</v>
      </c>
      <c r="AB348" s="73">
        <v>1.05</v>
      </c>
      <c r="AC348" s="308">
        <v>5.09</v>
      </c>
      <c r="AD348" s="109" t="s">
        <v>2538</v>
      </c>
      <c r="AE348" s="30" t="s">
        <v>2539</v>
      </c>
    </row>
    <row r="349" spans="1:31" s="305" customFormat="1" ht="14.25" customHeight="1">
      <c r="A349" s="306" t="s">
        <v>2540</v>
      </c>
      <c r="B349" s="217" t="s">
        <v>2541</v>
      </c>
      <c r="C349" s="45" t="s">
        <v>2542</v>
      </c>
      <c r="D349" s="45" t="s">
        <v>2543</v>
      </c>
      <c r="E349" s="30" t="s">
        <v>2544</v>
      </c>
      <c r="F349" s="78" t="s">
        <v>1012</v>
      </c>
      <c r="G349" s="47" t="s">
        <v>1019</v>
      </c>
      <c r="H349" s="33">
        <v>137000</v>
      </c>
      <c r="I349" s="85">
        <v>116000</v>
      </c>
      <c r="J349" s="34">
        <v>20800</v>
      </c>
      <c r="K349" s="38">
        <v>361</v>
      </c>
      <c r="L349" s="307">
        <v>356</v>
      </c>
      <c r="M349" s="39">
        <v>303</v>
      </c>
      <c r="N349" s="36">
        <v>53.4</v>
      </c>
      <c r="O349" s="36">
        <v>4.7300000000000004</v>
      </c>
      <c r="P349" s="38">
        <v>6.37</v>
      </c>
      <c r="Q349" s="307">
        <v>6.13</v>
      </c>
      <c r="R349" s="36">
        <v>6.13</v>
      </c>
      <c r="S349" s="36">
        <v>0</v>
      </c>
      <c r="T349" s="36">
        <v>0.23699999999999999</v>
      </c>
      <c r="U349" s="38">
        <v>355</v>
      </c>
      <c r="V349" s="307">
        <v>350</v>
      </c>
      <c r="W349" s="36">
        <v>297</v>
      </c>
      <c r="X349" s="36">
        <v>53.4</v>
      </c>
      <c r="Y349" s="36">
        <v>4.49</v>
      </c>
      <c r="Z349" s="86">
        <v>95.5</v>
      </c>
      <c r="AA349" s="77">
        <v>76.2</v>
      </c>
      <c r="AB349" s="73">
        <v>19.2</v>
      </c>
      <c r="AC349" s="308">
        <v>0</v>
      </c>
      <c r="AD349" s="109" t="s">
        <v>2545</v>
      </c>
      <c r="AE349" s="30" t="s">
        <v>2546</v>
      </c>
    </row>
    <row r="350" spans="1:31" s="305" customFormat="1" ht="14.25">
      <c r="A350" s="306" t="s">
        <v>2547</v>
      </c>
      <c r="B350" s="217" t="s">
        <v>2548</v>
      </c>
      <c r="C350" s="45" t="s">
        <v>2549</v>
      </c>
      <c r="D350" s="45" t="s">
        <v>2550</v>
      </c>
      <c r="E350" s="30" t="s">
        <v>2551</v>
      </c>
      <c r="F350" s="78" t="s">
        <v>1012</v>
      </c>
      <c r="G350" s="47" t="s">
        <v>1019</v>
      </c>
      <c r="H350" s="33">
        <v>34200</v>
      </c>
      <c r="I350" s="85">
        <v>32700</v>
      </c>
      <c r="J350" s="34">
        <v>1550</v>
      </c>
      <c r="K350" s="38">
        <v>250</v>
      </c>
      <c r="L350" s="307">
        <v>249</v>
      </c>
      <c r="M350" s="39">
        <v>124</v>
      </c>
      <c r="N350" s="36">
        <v>125</v>
      </c>
      <c r="O350" s="36">
        <v>1.33</v>
      </c>
      <c r="P350" s="38">
        <v>148</v>
      </c>
      <c r="Q350" s="307">
        <v>148</v>
      </c>
      <c r="R350" s="36">
        <v>49</v>
      </c>
      <c r="S350" s="36">
        <v>99</v>
      </c>
      <c r="T350" s="36">
        <v>7.9600000000000004E-2</v>
      </c>
      <c r="U350" s="38">
        <v>102</v>
      </c>
      <c r="V350" s="307">
        <v>101</v>
      </c>
      <c r="W350" s="36">
        <v>74.900000000000006</v>
      </c>
      <c r="X350" s="36">
        <v>25.8</v>
      </c>
      <c r="Y350" s="36">
        <v>1.25</v>
      </c>
      <c r="Z350" s="86">
        <v>20.2</v>
      </c>
      <c r="AA350" s="77">
        <v>19</v>
      </c>
      <c r="AB350" s="73">
        <v>1.2</v>
      </c>
      <c r="AC350" s="308">
        <v>11.6</v>
      </c>
      <c r="AD350" s="109" t="s">
        <v>2552</v>
      </c>
      <c r="AE350" s="30" t="s">
        <v>2553</v>
      </c>
    </row>
    <row r="351" spans="1:31" s="305" customFormat="1" ht="14.25">
      <c r="A351" s="306" t="s">
        <v>2554</v>
      </c>
      <c r="B351" s="217" t="s">
        <v>2555</v>
      </c>
      <c r="C351" s="45" t="s">
        <v>2556</v>
      </c>
      <c r="D351" s="45" t="s">
        <v>2557</v>
      </c>
      <c r="E351" s="30" t="s">
        <v>2558</v>
      </c>
      <c r="F351" s="78" t="s">
        <v>1012</v>
      </c>
      <c r="G351" s="47" t="s">
        <v>1019</v>
      </c>
      <c r="H351" s="33">
        <v>27500</v>
      </c>
      <c r="I351" s="85">
        <v>26000</v>
      </c>
      <c r="J351" s="34">
        <v>1480</v>
      </c>
      <c r="K351" s="38">
        <v>396</v>
      </c>
      <c r="L351" s="307">
        <v>394</v>
      </c>
      <c r="M351" s="39">
        <v>256</v>
      </c>
      <c r="N351" s="36">
        <v>138</v>
      </c>
      <c r="O351" s="36">
        <v>2.23</v>
      </c>
      <c r="P351" s="38">
        <v>336</v>
      </c>
      <c r="Q351" s="307">
        <v>335</v>
      </c>
      <c r="R351" s="36">
        <v>206</v>
      </c>
      <c r="S351" s="36">
        <v>129</v>
      </c>
      <c r="T351" s="36">
        <v>0.14399999999999999</v>
      </c>
      <c r="U351" s="38">
        <v>60.7</v>
      </c>
      <c r="V351" s="307">
        <v>58.6</v>
      </c>
      <c r="W351" s="36">
        <v>49.8</v>
      </c>
      <c r="X351" s="36">
        <v>8.81</v>
      </c>
      <c r="Y351" s="36">
        <v>2.09</v>
      </c>
      <c r="Z351" s="86">
        <v>12.6</v>
      </c>
      <c r="AA351" s="77">
        <v>11.7</v>
      </c>
      <c r="AB351" s="73">
        <v>0.91500000000000004</v>
      </c>
      <c r="AC351" s="308">
        <v>6.36</v>
      </c>
      <c r="AD351" s="109" t="s">
        <v>2559</v>
      </c>
      <c r="AE351" s="30" t="s">
        <v>2560</v>
      </c>
    </row>
    <row r="352" spans="1:31" s="305" customFormat="1" ht="14.25">
      <c r="A352" s="306" t="s">
        <v>2561</v>
      </c>
      <c r="B352" s="217" t="s">
        <v>2562</v>
      </c>
      <c r="C352" s="45" t="s">
        <v>2563</v>
      </c>
      <c r="D352" s="88" t="s">
        <v>1216</v>
      </c>
      <c r="E352" s="30" t="s">
        <v>1217</v>
      </c>
      <c r="F352" s="78" t="s">
        <v>1012</v>
      </c>
      <c r="G352" s="47" t="s">
        <v>1019</v>
      </c>
      <c r="H352" s="33">
        <v>159000</v>
      </c>
      <c r="I352" s="85">
        <v>155000</v>
      </c>
      <c r="J352" s="34">
        <v>3510</v>
      </c>
      <c r="K352" s="38">
        <v>429</v>
      </c>
      <c r="L352" s="307">
        <v>425</v>
      </c>
      <c r="M352" s="39">
        <v>425</v>
      </c>
      <c r="N352" s="36">
        <v>0</v>
      </c>
      <c r="O352" s="36">
        <v>4.5199999999999996</v>
      </c>
      <c r="P352" s="38">
        <v>73.2</v>
      </c>
      <c r="Q352" s="307">
        <v>73</v>
      </c>
      <c r="R352" s="36">
        <v>73</v>
      </c>
      <c r="S352" s="36">
        <v>0</v>
      </c>
      <c r="T352" s="36">
        <v>0.182</v>
      </c>
      <c r="U352" s="38">
        <v>356</v>
      </c>
      <c r="V352" s="307">
        <v>352</v>
      </c>
      <c r="W352" s="36">
        <v>352</v>
      </c>
      <c r="X352" s="36">
        <v>0</v>
      </c>
      <c r="Y352" s="36">
        <v>4.34</v>
      </c>
      <c r="Z352" s="86">
        <v>41.1</v>
      </c>
      <c r="AA352" s="77">
        <v>40.1</v>
      </c>
      <c r="AB352" s="73">
        <v>1.05</v>
      </c>
      <c r="AC352" s="308">
        <v>0</v>
      </c>
      <c r="AD352" s="109" t="s">
        <v>2564</v>
      </c>
      <c r="AE352" s="30" t="s">
        <v>2006</v>
      </c>
    </row>
    <row r="353" spans="1:31" s="305" customFormat="1">
      <c r="A353" s="306" t="s">
        <v>2565</v>
      </c>
      <c r="B353" s="217" t="s">
        <v>2566</v>
      </c>
      <c r="C353" s="45" t="s">
        <v>2567</v>
      </c>
      <c r="D353" s="45" t="s">
        <v>2568</v>
      </c>
      <c r="E353" s="30" t="s">
        <v>2569</v>
      </c>
      <c r="F353" s="78" t="s">
        <v>1012</v>
      </c>
      <c r="G353" s="123" t="s">
        <v>2523</v>
      </c>
      <c r="H353" s="33">
        <v>356000</v>
      </c>
      <c r="I353" s="85">
        <v>338000</v>
      </c>
      <c r="J353" s="34">
        <v>17700</v>
      </c>
      <c r="K353" s="38">
        <v>668</v>
      </c>
      <c r="L353" s="307">
        <v>667</v>
      </c>
      <c r="M353" s="39">
        <v>667</v>
      </c>
      <c r="N353" s="36">
        <v>0</v>
      </c>
      <c r="O353" s="36">
        <v>1.35</v>
      </c>
      <c r="P353" s="38">
        <v>70.599999999999994</v>
      </c>
      <c r="Q353" s="307">
        <v>70.599999999999994</v>
      </c>
      <c r="R353" s="36">
        <v>70.599999999999994</v>
      </c>
      <c r="S353" s="36">
        <v>0</v>
      </c>
      <c r="T353" s="36">
        <v>3.9199999999999999E-2</v>
      </c>
      <c r="U353" s="38">
        <v>598</v>
      </c>
      <c r="V353" s="307">
        <v>596</v>
      </c>
      <c r="W353" s="36">
        <v>596</v>
      </c>
      <c r="X353" s="36">
        <v>0</v>
      </c>
      <c r="Y353" s="36">
        <v>1.31</v>
      </c>
      <c r="Z353" s="86">
        <v>151</v>
      </c>
      <c r="AA353" s="77">
        <v>134</v>
      </c>
      <c r="AB353" s="73">
        <v>17.100000000000001</v>
      </c>
      <c r="AC353" s="308">
        <v>0</v>
      </c>
      <c r="AD353" s="109" t="s">
        <v>2570</v>
      </c>
      <c r="AE353" s="30" t="s">
        <v>2571</v>
      </c>
    </row>
    <row r="354" spans="1:31" s="305" customFormat="1">
      <c r="A354" s="306" t="s">
        <v>2572</v>
      </c>
      <c r="B354" s="217" t="s">
        <v>2573</v>
      </c>
      <c r="C354" s="45" t="s">
        <v>2574</v>
      </c>
      <c r="D354" s="45" t="s">
        <v>2575</v>
      </c>
      <c r="E354" s="30" t="s">
        <v>2576</v>
      </c>
      <c r="F354" s="78" t="s">
        <v>1012</v>
      </c>
      <c r="G354" s="123" t="s">
        <v>2523</v>
      </c>
      <c r="H354" s="33">
        <v>1010000</v>
      </c>
      <c r="I354" s="85">
        <v>943000</v>
      </c>
      <c r="J354" s="34">
        <v>62600</v>
      </c>
      <c r="K354" s="38">
        <v>7020</v>
      </c>
      <c r="L354" s="307">
        <v>6980</v>
      </c>
      <c r="M354" s="39">
        <v>4960</v>
      </c>
      <c r="N354" s="36">
        <v>2030</v>
      </c>
      <c r="O354" s="36">
        <v>40.700000000000003</v>
      </c>
      <c r="P354" s="38">
        <v>5050</v>
      </c>
      <c r="Q354" s="307">
        <v>5040</v>
      </c>
      <c r="R354" s="36">
        <v>3150</v>
      </c>
      <c r="S354" s="36">
        <v>1900</v>
      </c>
      <c r="T354" s="36">
        <v>2.4900000000000002</v>
      </c>
      <c r="U354" s="38">
        <v>1980</v>
      </c>
      <c r="V354" s="307">
        <v>1940</v>
      </c>
      <c r="W354" s="36">
        <v>1810</v>
      </c>
      <c r="X354" s="36">
        <v>129</v>
      </c>
      <c r="Y354" s="36">
        <v>38.299999999999997</v>
      </c>
      <c r="Z354" s="86">
        <v>470</v>
      </c>
      <c r="AA354" s="77">
        <v>418</v>
      </c>
      <c r="AB354" s="73">
        <v>51.3</v>
      </c>
      <c r="AC354" s="308">
        <v>160</v>
      </c>
      <c r="AD354" s="109" t="s">
        <v>2577</v>
      </c>
      <c r="AE354" s="30" t="s">
        <v>2578</v>
      </c>
    </row>
    <row r="355" spans="1:31" s="305" customFormat="1">
      <c r="A355" s="306" t="s">
        <v>2579</v>
      </c>
      <c r="B355" s="217" t="s">
        <v>2580</v>
      </c>
      <c r="C355" s="45" t="s">
        <v>2581</v>
      </c>
      <c r="D355" s="45" t="s">
        <v>2582</v>
      </c>
      <c r="E355" s="30" t="s">
        <v>2583</v>
      </c>
      <c r="F355" s="78" t="s">
        <v>1012</v>
      </c>
      <c r="G355" s="123" t="s">
        <v>2523</v>
      </c>
      <c r="H355" s="33">
        <v>6610000</v>
      </c>
      <c r="I355" s="85">
        <v>6560000</v>
      </c>
      <c r="J355" s="34">
        <v>54300</v>
      </c>
      <c r="K355" s="38">
        <v>11000</v>
      </c>
      <c r="L355" s="307">
        <v>11000</v>
      </c>
      <c r="M355" s="39">
        <v>10900</v>
      </c>
      <c r="N355" s="36">
        <v>67.3</v>
      </c>
      <c r="O355" s="36">
        <v>5.4</v>
      </c>
      <c r="P355" s="38">
        <v>700</v>
      </c>
      <c r="Q355" s="307">
        <v>699</v>
      </c>
      <c r="R355" s="36">
        <v>632</v>
      </c>
      <c r="S355" s="36">
        <v>67.3</v>
      </c>
      <c r="T355" s="36">
        <v>0.26400000000000001</v>
      </c>
      <c r="U355" s="38">
        <v>10300</v>
      </c>
      <c r="V355" s="307">
        <v>10300</v>
      </c>
      <c r="W355" s="36">
        <v>10300</v>
      </c>
      <c r="X355" s="36">
        <v>0</v>
      </c>
      <c r="Y355" s="36">
        <v>5.13</v>
      </c>
      <c r="Z355" s="86">
        <v>2770</v>
      </c>
      <c r="AA355" s="77">
        <v>2720</v>
      </c>
      <c r="AB355" s="73">
        <v>51</v>
      </c>
      <c r="AC355" s="308">
        <v>3.45</v>
      </c>
      <c r="AD355" s="109" t="s">
        <v>2584</v>
      </c>
      <c r="AE355" s="30" t="s">
        <v>2585</v>
      </c>
    </row>
    <row r="356" spans="1:31" s="305" customFormat="1">
      <c r="A356" s="306" t="s">
        <v>2586</v>
      </c>
      <c r="B356" s="217" t="s">
        <v>2587</v>
      </c>
      <c r="C356" s="45" t="s">
        <v>2588</v>
      </c>
      <c r="D356" s="45" t="s">
        <v>2589</v>
      </c>
      <c r="E356" s="30" t="s">
        <v>2590</v>
      </c>
      <c r="F356" s="78" t="s">
        <v>1012</v>
      </c>
      <c r="G356" s="123" t="s">
        <v>2523</v>
      </c>
      <c r="H356" s="33">
        <v>1200000</v>
      </c>
      <c r="I356" s="85">
        <v>1110000</v>
      </c>
      <c r="J356" s="34">
        <v>91000</v>
      </c>
      <c r="K356" s="38">
        <v>5400</v>
      </c>
      <c r="L356" s="307">
        <v>5340</v>
      </c>
      <c r="M356" s="39">
        <v>2890</v>
      </c>
      <c r="N356" s="36">
        <v>2460</v>
      </c>
      <c r="O356" s="36">
        <v>59.7</v>
      </c>
      <c r="P356" s="38">
        <v>2530</v>
      </c>
      <c r="Q356" s="307">
        <v>2530</v>
      </c>
      <c r="R356" s="36">
        <v>604</v>
      </c>
      <c r="S356" s="36">
        <v>1930</v>
      </c>
      <c r="T356" s="36">
        <v>3.53</v>
      </c>
      <c r="U356" s="38">
        <v>2870</v>
      </c>
      <c r="V356" s="307">
        <v>2810</v>
      </c>
      <c r="W356" s="36">
        <v>2280</v>
      </c>
      <c r="X356" s="36">
        <v>531</v>
      </c>
      <c r="Y356" s="36">
        <v>56.2</v>
      </c>
      <c r="Z356" s="86">
        <v>632</v>
      </c>
      <c r="AA356" s="77">
        <v>557</v>
      </c>
      <c r="AB356" s="73">
        <v>74.8</v>
      </c>
      <c r="AC356" s="308">
        <v>223</v>
      </c>
      <c r="AD356" s="109" t="s">
        <v>2591</v>
      </c>
      <c r="AE356" s="30" t="s">
        <v>2592</v>
      </c>
    </row>
    <row r="357" spans="1:31" s="305" customFormat="1">
      <c r="A357" s="306" t="s">
        <v>2593</v>
      </c>
      <c r="B357" s="217" t="s">
        <v>2594</v>
      </c>
      <c r="C357" s="45" t="s">
        <v>2595</v>
      </c>
      <c r="D357" s="45" t="s">
        <v>2596</v>
      </c>
      <c r="E357" s="30" t="s">
        <v>2597</v>
      </c>
      <c r="F357" s="78" t="s">
        <v>1012</v>
      </c>
      <c r="G357" s="123" t="s">
        <v>2523</v>
      </c>
      <c r="H357" s="33">
        <v>110000</v>
      </c>
      <c r="I357" s="85">
        <v>105000</v>
      </c>
      <c r="J357" s="34">
        <v>5330</v>
      </c>
      <c r="K357" s="38">
        <v>255</v>
      </c>
      <c r="L357" s="307">
        <v>254</v>
      </c>
      <c r="M357" s="39">
        <v>254</v>
      </c>
      <c r="N357" s="36">
        <v>0</v>
      </c>
      <c r="O357" s="36">
        <v>0.747</v>
      </c>
      <c r="P357" s="38">
        <v>41.3</v>
      </c>
      <c r="Q357" s="307">
        <v>41.2</v>
      </c>
      <c r="R357" s="36">
        <v>41.2</v>
      </c>
      <c r="S357" s="36">
        <v>0</v>
      </c>
      <c r="T357" s="36">
        <v>3.5799999999999998E-2</v>
      </c>
      <c r="U357" s="38">
        <v>214</v>
      </c>
      <c r="V357" s="307">
        <v>213</v>
      </c>
      <c r="W357" s="36">
        <v>213</v>
      </c>
      <c r="X357" s="36">
        <v>0</v>
      </c>
      <c r="Y357" s="36">
        <v>0.71099999999999997</v>
      </c>
      <c r="Z357" s="86">
        <v>48.6</v>
      </c>
      <c r="AA357" s="77">
        <v>43.7</v>
      </c>
      <c r="AB357" s="73">
        <v>4.92</v>
      </c>
      <c r="AC357" s="308">
        <v>0</v>
      </c>
      <c r="AD357" s="109" t="s">
        <v>2598</v>
      </c>
      <c r="AE357" s="30" t="s">
        <v>2599</v>
      </c>
    </row>
    <row r="358" spans="1:31" s="305" customFormat="1">
      <c r="A358" s="306" t="s">
        <v>2600</v>
      </c>
      <c r="B358" s="217" t="s">
        <v>2601</v>
      </c>
      <c r="C358" s="45" t="s">
        <v>2602</v>
      </c>
      <c r="D358" s="45" t="s">
        <v>2603</v>
      </c>
      <c r="E358" s="30" t="s">
        <v>2604</v>
      </c>
      <c r="F358" s="78" t="s">
        <v>1012</v>
      </c>
      <c r="G358" s="123" t="s">
        <v>2523</v>
      </c>
      <c r="H358" s="33">
        <v>46600</v>
      </c>
      <c r="I358" s="85">
        <v>46000</v>
      </c>
      <c r="J358" s="34">
        <v>595</v>
      </c>
      <c r="K358" s="38">
        <v>160</v>
      </c>
      <c r="L358" s="307">
        <v>160</v>
      </c>
      <c r="M358" s="39">
        <v>143</v>
      </c>
      <c r="N358" s="36">
        <v>16.8</v>
      </c>
      <c r="O358" s="36">
        <v>0.76700000000000002</v>
      </c>
      <c r="P358" s="38">
        <v>16.5</v>
      </c>
      <c r="Q358" s="307">
        <v>16.5</v>
      </c>
      <c r="R358" s="36">
        <v>16.5</v>
      </c>
      <c r="S358" s="36">
        <v>0</v>
      </c>
      <c r="T358" s="36">
        <v>3.09E-2</v>
      </c>
      <c r="U358" s="38">
        <v>144</v>
      </c>
      <c r="V358" s="307">
        <v>143</v>
      </c>
      <c r="W358" s="36">
        <v>126</v>
      </c>
      <c r="X358" s="36">
        <v>16.8</v>
      </c>
      <c r="Y358" s="36">
        <v>0.73599999999999999</v>
      </c>
      <c r="Z358" s="86">
        <v>30.7</v>
      </c>
      <c r="AA358" s="77">
        <v>30.5</v>
      </c>
      <c r="AB358" s="73">
        <v>0.17799999999999999</v>
      </c>
      <c r="AC358" s="308">
        <v>0</v>
      </c>
      <c r="AD358" s="109" t="s">
        <v>2605</v>
      </c>
      <c r="AE358" s="30" t="s">
        <v>2606</v>
      </c>
    </row>
    <row r="359" spans="1:31" s="305" customFormat="1" ht="12.75" customHeight="1">
      <c r="A359" s="1955" t="s">
        <v>2607</v>
      </c>
      <c r="B359" s="1956"/>
      <c r="C359" s="1956"/>
      <c r="D359" s="1956"/>
      <c r="E359" s="1956"/>
      <c r="F359" s="1956"/>
      <c r="G359" s="1956"/>
      <c r="H359" s="1956"/>
      <c r="I359" s="1956"/>
      <c r="J359" s="1956"/>
      <c r="K359" s="1956"/>
      <c r="L359" s="1956"/>
      <c r="M359" s="1956"/>
      <c r="N359" s="1956"/>
      <c r="O359" s="1956"/>
      <c r="P359" s="1956"/>
      <c r="Q359" s="1956"/>
      <c r="R359" s="1956"/>
      <c r="S359" s="1956"/>
      <c r="T359" s="1956"/>
      <c r="U359" s="1956"/>
      <c r="V359" s="1956"/>
      <c r="W359" s="1956"/>
      <c r="X359" s="1956"/>
      <c r="Y359" s="1956"/>
      <c r="Z359" s="1956"/>
      <c r="AA359" s="1956"/>
      <c r="AB359" s="1956"/>
      <c r="AC359" s="1956"/>
      <c r="AD359" s="1956"/>
      <c r="AE359" s="1957"/>
    </row>
    <row r="360" spans="1:31" s="325" customFormat="1" ht="12.95" customHeight="1">
      <c r="A360" s="1955" t="s">
        <v>2608</v>
      </c>
      <c r="B360" s="1958"/>
      <c r="C360" s="1958"/>
      <c r="D360" s="1958"/>
      <c r="E360" s="1958"/>
      <c r="F360" s="1958"/>
      <c r="G360" s="1958"/>
      <c r="H360" s="1958"/>
      <c r="I360" s="1958"/>
      <c r="J360" s="1958"/>
      <c r="K360" s="1958"/>
      <c r="L360" s="1958"/>
      <c r="M360" s="1958"/>
      <c r="N360" s="1958"/>
      <c r="O360" s="1958"/>
      <c r="P360" s="1958"/>
      <c r="Q360" s="1958"/>
      <c r="R360" s="1958"/>
      <c r="S360" s="1958"/>
      <c r="T360" s="1958"/>
      <c r="U360" s="1958"/>
      <c r="V360" s="1958"/>
      <c r="W360" s="1958"/>
      <c r="X360" s="1958"/>
      <c r="Y360" s="1958"/>
      <c r="Z360" s="1958"/>
      <c r="AA360" s="1958"/>
      <c r="AB360" s="1958"/>
      <c r="AC360" s="1958"/>
      <c r="AD360" s="1958"/>
      <c r="AE360" s="1959"/>
    </row>
    <row r="365" spans="1:31">
      <c r="P365" s="695"/>
    </row>
  </sheetData>
  <sheetProtection selectLockedCells="1" selectUnlockedCells="1"/>
  <customSheetViews>
    <customSheetView guid="{B32447E2-AB5B-4CBB-881B-FF11349CA4D6}" fitToPage="1" hiddenRows="1" hiddenColumns="1">
      <pane xSplit="6" ySplit="9" topLeftCell="Y205" activePane="bottomRight" state="frozen"/>
      <selection pane="bottomRight" activeCell="E236" sqref="E236"/>
      <rowBreaks count="4" manualBreakCount="4">
        <brk id="97" max="18" man="1"/>
        <brk id="158" max="18" man="1"/>
        <brk id="239" max="18" man="1"/>
        <brk id="289" max="18" man="1"/>
      </rowBreaks>
      <pageMargins left="0" right="0" top="0" bottom="0" header="0" footer="0"/>
      <pageSetup paperSize="9" scale="36" fitToHeight="0" orientation="landscape" r:id="rId1"/>
      <headerFooter scaleWithDoc="0" alignWithMargins="0">
        <oddFooter>&amp;C&amp;8&amp;P</oddFooter>
      </headerFooter>
    </customSheetView>
    <customSheetView guid="{9FA74287-E657-475B-BF4B-3C8C757714AE}" fitToPage="1" hiddenRows="1" hiddenColumns="1">
      <pane xSplit="6" ySplit="9" topLeftCell="Y205" activePane="bottomRight" state="frozen"/>
      <selection pane="bottomRight" activeCell="E236" sqref="E236"/>
      <rowBreaks count="4" manualBreakCount="4">
        <brk id="97" max="18" man="1"/>
        <brk id="158" max="18" man="1"/>
        <brk id="239" max="18" man="1"/>
        <brk id="289" max="18" man="1"/>
      </rowBreaks>
      <pageMargins left="0" right="0" top="0" bottom="0" header="0" footer="0"/>
      <pageSetup paperSize="9" scale="36" fitToHeight="0" orientation="landscape" r:id="rId2"/>
      <headerFooter scaleWithDoc="0" alignWithMargins="0">
        <oddFooter>&amp;C&amp;8&amp;P</oddFooter>
      </headerFooter>
    </customSheetView>
    <customSheetView guid="{54A7C567-FA7D-467E-B353-ECB5E61AE756}" fitToPage="1" hiddenRows="1" hiddenColumns="1">
      <selection activeCell="I30" sqref="I30"/>
      <rowBreaks count="4" manualBreakCount="4">
        <brk id="97" max="18" man="1"/>
        <brk id="158" max="18" man="1"/>
        <brk id="239" max="18" man="1"/>
        <brk id="289" max="18" man="1"/>
      </rowBreaks>
      <pageMargins left="0" right="0" top="0" bottom="0" header="0" footer="0"/>
      <pageSetup paperSize="9" scale="36" fitToHeight="0" orientation="landscape" r:id="rId3"/>
      <headerFooter scaleWithDoc="0" alignWithMargins="0">
        <oddFooter>&amp;C&amp;8&amp;P</oddFooter>
      </headerFooter>
    </customSheetView>
  </customSheetViews>
  <mergeCells count="35">
    <mergeCell ref="AE4:AE6"/>
    <mergeCell ref="K4:Y4"/>
    <mergeCell ref="K6:O6"/>
    <mergeCell ref="P6:T6"/>
    <mergeCell ref="U6:Y6"/>
    <mergeCell ref="Z4:AB4"/>
    <mergeCell ref="Z6:AB6"/>
    <mergeCell ref="AD4:AD6"/>
    <mergeCell ref="U5:Y5"/>
    <mergeCell ref="Z5:AB5"/>
    <mergeCell ref="AD7:AD8"/>
    <mergeCell ref="A5:A6"/>
    <mergeCell ref="D5:D6"/>
    <mergeCell ref="H5:J6"/>
    <mergeCell ref="K5:O5"/>
    <mergeCell ref="P5:T5"/>
    <mergeCell ref="F6:F8"/>
    <mergeCell ref="C4:C6"/>
    <mergeCell ref="C7:C8"/>
    <mergeCell ref="E4:E6"/>
    <mergeCell ref="F4:F5"/>
    <mergeCell ref="G4:G9"/>
    <mergeCell ref="H4:J4"/>
    <mergeCell ref="A359:AE359"/>
    <mergeCell ref="A360:AE360"/>
    <mergeCell ref="A57:AE57"/>
    <mergeCell ref="A58:AE58"/>
    <mergeCell ref="A96:AD96"/>
    <mergeCell ref="A149:AE149"/>
    <mergeCell ref="A150:AE150"/>
    <mergeCell ref="A151:AE151"/>
    <mergeCell ref="A207:AE207"/>
    <mergeCell ref="A208:AE208"/>
    <mergeCell ref="A322:AE322"/>
    <mergeCell ref="A323:AE323"/>
  </mergeCells>
  <conditionalFormatting sqref="H61:L71 O61:Q71">
    <cfRule type="cellIs" dxfId="298" priority="171" operator="equal">
      <formula>0</formula>
    </cfRule>
    <cfRule type="cellIs" dxfId="297" priority="172" operator="greaterThan">
      <formula>100</formula>
    </cfRule>
    <cfRule type="cellIs" dxfId="296" priority="173" operator="between">
      <formula>10</formula>
      <formula>100</formula>
    </cfRule>
    <cfRule type="cellIs" dxfId="295" priority="174" operator="between">
      <formula>1</formula>
      <formula>10</formula>
    </cfRule>
    <cfRule type="cellIs" dxfId="294" priority="175" operator="between">
      <formula>0.00000001</formula>
      <formula>1</formula>
    </cfRule>
  </conditionalFormatting>
  <conditionalFormatting sqref="H73:L95 O73:Q95 T73:V95 Y73:AC95">
    <cfRule type="cellIs" dxfId="293" priority="156" operator="equal">
      <formula>0</formula>
    </cfRule>
    <cfRule type="cellIs" dxfId="292" priority="157" operator="greaterThan">
      <formula>100</formula>
    </cfRule>
    <cfRule type="cellIs" dxfId="291" priority="158" operator="between">
      <formula>10</formula>
      <formula>100</formula>
    </cfRule>
    <cfRule type="cellIs" dxfId="290" priority="159" operator="between">
      <formula>1</formula>
      <formula>10</formula>
    </cfRule>
    <cfRule type="cellIs" dxfId="289" priority="160" operator="between">
      <formula>0.00000001</formula>
      <formula>1</formula>
    </cfRule>
  </conditionalFormatting>
  <conditionalFormatting sqref="H98:L114 O98:Q114 T98:V114 Y98:AC114">
    <cfRule type="cellIs" dxfId="288" priority="151" operator="equal">
      <formula>0</formula>
    </cfRule>
    <cfRule type="cellIs" dxfId="287" priority="152" operator="greaterThan">
      <formula>100</formula>
    </cfRule>
    <cfRule type="cellIs" dxfId="286" priority="153" operator="between">
      <formula>10</formula>
      <formula>100</formula>
    </cfRule>
    <cfRule type="cellIs" dxfId="285" priority="154" operator="between">
      <formula>1</formula>
      <formula>10</formula>
    </cfRule>
    <cfRule type="cellIs" dxfId="284" priority="155" operator="between">
      <formula>0.00000001</formula>
      <formula>1</formula>
    </cfRule>
  </conditionalFormatting>
  <conditionalFormatting sqref="H116:L129 O116:Q129 T116:V129 Y121:AB129 H130:AB148">
    <cfRule type="cellIs" dxfId="283" priority="141" operator="equal">
      <formula>0</formula>
    </cfRule>
    <cfRule type="cellIs" dxfId="282" priority="142" operator="greaterThan">
      <formula>100</formula>
    </cfRule>
    <cfRule type="cellIs" dxfId="281" priority="143" operator="between">
      <formula>10</formula>
      <formula>100</formula>
    </cfRule>
    <cfRule type="cellIs" dxfId="280" priority="144" operator="between">
      <formula>1</formula>
      <formula>10</formula>
    </cfRule>
    <cfRule type="cellIs" dxfId="279" priority="145" operator="between">
      <formula>0.00000001</formula>
      <formula>1</formula>
    </cfRule>
  </conditionalFormatting>
  <conditionalFormatting sqref="H170:L176 O170:Q176 T170:AB176">
    <cfRule type="cellIs" dxfId="278" priority="121" operator="equal">
      <formula>0</formula>
    </cfRule>
    <cfRule type="cellIs" dxfId="277" priority="122" operator="greaterThan">
      <formula>100</formula>
    </cfRule>
    <cfRule type="cellIs" dxfId="276" priority="123" operator="between">
      <formula>10</formula>
      <formula>100</formula>
    </cfRule>
    <cfRule type="cellIs" dxfId="275" priority="124" operator="between">
      <formula>1</formula>
      <formula>10</formula>
    </cfRule>
    <cfRule type="cellIs" dxfId="274" priority="125" operator="between">
      <formula>0.00000001</formula>
      <formula>1</formula>
    </cfRule>
  </conditionalFormatting>
  <conditionalFormatting sqref="H216:L245 O216:Q245 T216:V245 Y216:AC245">
    <cfRule type="cellIs" dxfId="273" priority="11" operator="equal">
      <formula>0</formula>
    </cfRule>
    <cfRule type="cellIs" dxfId="272" priority="12" operator="greaterThan">
      <formula>100</formula>
    </cfRule>
    <cfRule type="cellIs" dxfId="271" priority="13" operator="between">
      <formula>10</formula>
      <formula>100</formula>
    </cfRule>
    <cfRule type="cellIs" dxfId="270" priority="14" operator="between">
      <formula>1</formula>
      <formula>10</formula>
    </cfRule>
    <cfRule type="cellIs" dxfId="269" priority="15" operator="between">
      <formula>0.00000001</formula>
      <formula>1</formula>
    </cfRule>
  </conditionalFormatting>
  <conditionalFormatting sqref="H247:L277 O247:Q277 T247:V277">
    <cfRule type="cellIs" dxfId="268" priority="106" operator="equal">
      <formula>0</formula>
    </cfRule>
    <cfRule type="cellIs" dxfId="267" priority="107" operator="greaterThan">
      <formula>100</formula>
    </cfRule>
    <cfRule type="cellIs" dxfId="266" priority="108" operator="between">
      <formula>10</formula>
      <formula>100</formula>
    </cfRule>
    <cfRule type="cellIs" dxfId="265" priority="109" operator="between">
      <formula>1</formula>
      <formula>10</formula>
    </cfRule>
    <cfRule type="cellIs" dxfId="264" priority="110" operator="between">
      <formula>0.00000001</formula>
      <formula>1</formula>
    </cfRule>
  </conditionalFormatting>
  <conditionalFormatting sqref="H279:L308 O279:Q308 T279:V308">
    <cfRule type="cellIs" dxfId="263" priority="96" operator="equal">
      <formula>0</formula>
    </cfRule>
    <cfRule type="cellIs" dxfId="262" priority="97" operator="greaterThan">
      <formula>100</formula>
    </cfRule>
    <cfRule type="cellIs" dxfId="261" priority="98" operator="between">
      <formula>10</formula>
      <formula>100</formula>
    </cfRule>
    <cfRule type="cellIs" dxfId="260" priority="99" operator="between">
      <formula>1</formula>
      <formula>10</formula>
    </cfRule>
    <cfRule type="cellIs" dxfId="259" priority="100" operator="between">
      <formula>0.00000001</formula>
      <formula>1</formula>
    </cfRule>
  </conditionalFormatting>
  <conditionalFormatting sqref="H310:L321 O310:Q321 T310:V321 Z310:AC321">
    <cfRule type="cellIs" dxfId="258" priority="86" operator="equal">
      <formula>0</formula>
    </cfRule>
    <cfRule type="cellIs" dxfId="257" priority="87" operator="greaterThan">
      <formula>100</formula>
    </cfRule>
    <cfRule type="cellIs" dxfId="256" priority="88" operator="between">
      <formula>10</formula>
      <formula>100</formula>
    </cfRule>
    <cfRule type="cellIs" dxfId="255" priority="89" operator="between">
      <formula>1</formula>
      <formula>10</formula>
    </cfRule>
    <cfRule type="cellIs" dxfId="254" priority="90" operator="between">
      <formula>0.00000001</formula>
      <formula>1</formula>
    </cfRule>
  </conditionalFormatting>
  <conditionalFormatting sqref="H325:L329 O325:Q329 T325:V329">
    <cfRule type="cellIs" dxfId="253" priority="76" operator="equal">
      <formula>0</formula>
    </cfRule>
    <cfRule type="cellIs" dxfId="252" priority="77" operator="greaterThan">
      <formula>100</formula>
    </cfRule>
    <cfRule type="cellIs" dxfId="251" priority="78" operator="between">
      <formula>10</formula>
      <formula>100</formula>
    </cfRule>
    <cfRule type="cellIs" dxfId="250" priority="79" operator="between">
      <formula>1</formula>
      <formula>10</formula>
    </cfRule>
    <cfRule type="cellIs" dxfId="249" priority="80" operator="between">
      <formula>0.00000001</formula>
      <formula>1</formula>
    </cfRule>
  </conditionalFormatting>
  <conditionalFormatting sqref="H331:L338 O331:Q338 T331:V338">
    <cfRule type="cellIs" dxfId="248" priority="66" operator="equal">
      <formula>0</formula>
    </cfRule>
    <cfRule type="cellIs" dxfId="247" priority="67" operator="greaterThan">
      <formula>100</formula>
    </cfRule>
    <cfRule type="cellIs" dxfId="246" priority="68" operator="between">
      <formula>10</formula>
      <formula>100</formula>
    </cfRule>
    <cfRule type="cellIs" dxfId="245" priority="69" operator="between">
      <formula>1</formula>
      <formula>10</formula>
    </cfRule>
    <cfRule type="cellIs" dxfId="244" priority="70" operator="between">
      <formula>0.00000001</formula>
      <formula>1</formula>
    </cfRule>
  </conditionalFormatting>
  <conditionalFormatting sqref="H340:L344 O340:Q344 T340:V344">
    <cfRule type="cellIs" dxfId="243" priority="56" operator="equal">
      <formula>0</formula>
    </cfRule>
    <cfRule type="cellIs" dxfId="242" priority="57" operator="greaterThan">
      <formula>100</formula>
    </cfRule>
    <cfRule type="cellIs" dxfId="241" priority="58" operator="between">
      <formula>10</formula>
      <formula>100</formula>
    </cfRule>
    <cfRule type="cellIs" dxfId="240" priority="59" operator="between">
      <formula>1</formula>
      <formula>10</formula>
    </cfRule>
    <cfRule type="cellIs" dxfId="239" priority="60" operator="between">
      <formula>0.00000001</formula>
      <formula>1</formula>
    </cfRule>
  </conditionalFormatting>
  <conditionalFormatting sqref="H346:L358 O346:Q358 T346:V358">
    <cfRule type="cellIs" dxfId="238" priority="46" operator="equal">
      <formula>0</formula>
    </cfRule>
    <cfRule type="cellIs" dxfId="237" priority="47" operator="greaterThan">
      <formula>100</formula>
    </cfRule>
    <cfRule type="cellIs" dxfId="236" priority="48" operator="between">
      <formula>10</formula>
      <formula>100</formula>
    </cfRule>
    <cfRule type="cellIs" dxfId="235" priority="49" operator="between">
      <formula>1</formula>
      <formula>10</formula>
    </cfRule>
    <cfRule type="cellIs" dxfId="234" priority="50" operator="between">
      <formula>0.00000001</formula>
      <formula>1</formula>
    </cfRule>
  </conditionalFormatting>
  <conditionalFormatting sqref="H60:AB60">
    <cfRule type="cellIs" dxfId="233" priority="176" operator="equal">
      <formula>0</formula>
    </cfRule>
    <cfRule type="cellIs" dxfId="232" priority="177" operator="greaterThan">
      <formula>100</formula>
    </cfRule>
    <cfRule type="cellIs" dxfId="231" priority="178" operator="between">
      <formula>10</formula>
      <formula>100</formula>
    </cfRule>
    <cfRule type="cellIs" dxfId="230" priority="179" operator="between">
      <formula>1</formula>
      <formula>10</formula>
    </cfRule>
    <cfRule type="cellIs" dxfId="229" priority="180" operator="between">
      <formula>0.00000001</formula>
      <formula>1</formula>
    </cfRule>
  </conditionalFormatting>
  <conditionalFormatting sqref="H177:AB180">
    <cfRule type="cellIs" dxfId="228" priority="116" operator="equal">
      <formula>0</formula>
    </cfRule>
    <cfRule type="cellIs" dxfId="227" priority="117" operator="greaterThan">
      <formula>100</formula>
    </cfRule>
    <cfRule type="cellIs" dxfId="226" priority="118" operator="between">
      <formula>10</formula>
      <formula>100</formula>
    </cfRule>
    <cfRule type="cellIs" dxfId="225" priority="119" operator="between">
      <formula>1</formula>
      <formula>10</formula>
    </cfRule>
    <cfRule type="cellIs" dxfId="224" priority="120" operator="between">
      <formula>0.00000001</formula>
      <formula>1</formula>
    </cfRule>
  </conditionalFormatting>
  <conditionalFormatting sqref="H210:AB210 H211:L214 O211:Q214 T211:V214 Y211:AB214">
    <cfRule type="cellIs" dxfId="223" priority="111" operator="equal">
      <formula>0</formula>
    </cfRule>
    <cfRule type="cellIs" dxfId="222" priority="112" operator="greaterThan">
      <formula>100</formula>
    </cfRule>
    <cfRule type="cellIs" dxfId="221" priority="113" operator="between">
      <formula>10</formula>
      <formula>100</formula>
    </cfRule>
    <cfRule type="cellIs" dxfId="220" priority="114" operator="between">
      <formula>1</formula>
      <formula>10</formula>
    </cfRule>
    <cfRule type="cellIs" dxfId="219" priority="115" operator="between">
      <formula>0.00000001</formula>
      <formula>1</formula>
    </cfRule>
  </conditionalFormatting>
  <conditionalFormatting sqref="H11:AC34">
    <cfRule type="cellIs" dxfId="218" priority="186" operator="equal">
      <formula>0</formula>
    </cfRule>
    <cfRule type="cellIs" dxfId="217" priority="187" operator="greaterThan">
      <formula>100</formula>
    </cfRule>
    <cfRule type="cellIs" dxfId="216" priority="188" operator="between">
      <formula>10</formula>
      <formula>100</formula>
    </cfRule>
    <cfRule type="cellIs" dxfId="215" priority="189" operator="between">
      <formula>1</formula>
      <formula>10</formula>
    </cfRule>
    <cfRule type="cellIs" dxfId="214" priority="190" operator="between">
      <formula>0.00000001</formula>
      <formula>1</formula>
    </cfRule>
  </conditionalFormatting>
  <conditionalFormatting sqref="H36:AC56">
    <cfRule type="cellIs" dxfId="213" priority="181" operator="equal">
      <formula>0</formula>
    </cfRule>
    <cfRule type="cellIs" dxfId="212" priority="182" operator="greaterThan">
      <formula>100</formula>
    </cfRule>
    <cfRule type="cellIs" dxfId="211" priority="183" operator="between">
      <formula>10</formula>
      <formula>100</formula>
    </cfRule>
    <cfRule type="cellIs" dxfId="210" priority="184" operator="between">
      <formula>1</formula>
      <formula>10</formula>
    </cfRule>
    <cfRule type="cellIs" dxfId="209" priority="185" operator="between">
      <formula>0.00000001</formula>
      <formula>1</formula>
    </cfRule>
  </conditionalFormatting>
  <conditionalFormatting sqref="H153:AC168">
    <cfRule type="cellIs" dxfId="208" priority="1" operator="equal">
      <formula>0</formula>
    </cfRule>
    <cfRule type="cellIs" dxfId="207" priority="2" operator="greaterThan">
      <formula>100</formula>
    </cfRule>
    <cfRule type="cellIs" dxfId="206" priority="3" operator="between">
      <formula>10</formula>
      <formula>100</formula>
    </cfRule>
    <cfRule type="cellIs" dxfId="205" priority="4" operator="between">
      <formula>1</formula>
      <formula>10</formula>
    </cfRule>
    <cfRule type="cellIs" dxfId="204" priority="5" operator="between">
      <formula>0.00000001</formula>
      <formula>1</formula>
    </cfRule>
  </conditionalFormatting>
  <conditionalFormatting sqref="H181:AC206">
    <cfRule type="cellIs" dxfId="203" priority="16" operator="equal">
      <formula>0</formula>
    </cfRule>
    <cfRule type="cellIs" dxfId="202" priority="17" operator="greaterThan">
      <formula>100</formula>
    </cfRule>
    <cfRule type="cellIs" dxfId="201" priority="18" operator="between">
      <formula>10</formula>
      <formula>100</formula>
    </cfRule>
    <cfRule type="cellIs" dxfId="200" priority="19" operator="between">
      <formula>1</formula>
      <formula>10</formula>
    </cfRule>
    <cfRule type="cellIs" dxfId="199" priority="20" operator="between">
      <formula>0.00000001</formula>
      <formula>1</formula>
    </cfRule>
  </conditionalFormatting>
  <conditionalFormatting sqref="M61:N95 R61:S95 W61:X95 M97:N129 R97:S129 W97:X129">
    <cfRule type="cellIs" dxfId="198" priority="136" operator="equal">
      <formula>0</formula>
    </cfRule>
    <cfRule type="cellIs" dxfId="197" priority="137" operator="greaterThan">
      <formula>100</formula>
    </cfRule>
    <cfRule type="cellIs" dxfId="196" priority="138" operator="between">
      <formula>10</formula>
      <formula>100</formula>
    </cfRule>
    <cfRule type="cellIs" dxfId="195" priority="139" operator="between">
      <formula>1</formula>
      <formula>10</formula>
    </cfRule>
    <cfRule type="cellIs" dxfId="194" priority="140" operator="between">
      <formula>0.00000001</formula>
      <formula>1</formula>
    </cfRule>
  </conditionalFormatting>
  <conditionalFormatting sqref="M169:N176 R169:S176">
    <cfRule type="cellIs" dxfId="193" priority="126" operator="equal">
      <formula>0</formula>
    </cfRule>
    <cfRule type="cellIs" dxfId="192" priority="127" operator="greaterThan">
      <formula>100</formula>
    </cfRule>
    <cfRule type="cellIs" dxfId="191" priority="128" operator="between">
      <formula>10</formula>
      <formula>100</formula>
    </cfRule>
    <cfRule type="cellIs" dxfId="190" priority="129" operator="between">
      <formula>1</formula>
      <formula>10</formula>
    </cfRule>
    <cfRule type="cellIs" dxfId="189" priority="130" operator="between">
      <formula>0.00000001</formula>
      <formula>1</formula>
    </cfRule>
  </conditionalFormatting>
  <conditionalFormatting sqref="M325:N358">
    <cfRule type="cellIs" dxfId="188" priority="36" operator="equal">
      <formula>0</formula>
    </cfRule>
    <cfRule type="cellIs" dxfId="187" priority="37" operator="greaterThan">
      <formula>100</formula>
    </cfRule>
    <cfRule type="cellIs" dxfId="186" priority="38" operator="between">
      <formula>10</formula>
      <formula>100</formula>
    </cfRule>
    <cfRule type="cellIs" dxfId="185" priority="39" operator="between">
      <formula>1</formula>
      <formula>10</formula>
    </cfRule>
    <cfRule type="cellIs" dxfId="184" priority="40" operator="between">
      <formula>0.00000001</formula>
      <formula>1</formula>
    </cfRule>
  </conditionalFormatting>
  <conditionalFormatting sqref="R35:S35 W35:X35">
    <cfRule type="cellIs" dxfId="183" priority="216" operator="equal">
      <formula>0</formula>
    </cfRule>
    <cfRule type="cellIs" dxfId="182" priority="217" operator="greaterThan">
      <formula>100</formula>
    </cfRule>
    <cfRule type="cellIs" dxfId="181" priority="218" operator="between">
      <formula>10</formula>
      <formula>100</formula>
    </cfRule>
    <cfRule type="cellIs" dxfId="180" priority="219" operator="between">
      <formula>1</formula>
      <formula>10</formula>
    </cfRule>
    <cfRule type="cellIs" dxfId="179" priority="220" operator="between">
      <formula>0.00000001</formula>
      <formula>1</formula>
    </cfRule>
  </conditionalFormatting>
  <conditionalFormatting sqref="R325:S358">
    <cfRule type="cellIs" dxfId="178" priority="31" operator="equal">
      <formula>0</formula>
    </cfRule>
    <cfRule type="cellIs" dxfId="177" priority="32" operator="greaterThan">
      <formula>100</formula>
    </cfRule>
    <cfRule type="cellIs" dxfId="176" priority="33" operator="between">
      <formula>10</formula>
      <formula>100</formula>
    </cfRule>
    <cfRule type="cellIs" dxfId="175" priority="34" operator="between">
      <formula>1</formula>
      <formula>10</formula>
    </cfRule>
    <cfRule type="cellIs" dxfId="174" priority="35" operator="between">
      <formula>0.00000001</formula>
      <formula>1</formula>
    </cfRule>
  </conditionalFormatting>
  <conditionalFormatting sqref="T61:V71">
    <cfRule type="cellIs" dxfId="173" priority="166" operator="equal">
      <formula>0</formula>
    </cfRule>
    <cfRule type="cellIs" dxfId="172" priority="167" operator="greaterThan">
      <formula>100</formula>
    </cfRule>
    <cfRule type="cellIs" dxfId="171" priority="168" operator="between">
      <formula>10</formula>
      <formula>100</formula>
    </cfRule>
    <cfRule type="cellIs" dxfId="170" priority="169" operator="between">
      <formula>1</formula>
      <formula>10</formula>
    </cfRule>
    <cfRule type="cellIs" dxfId="169" priority="170" operator="between">
      <formula>0.00000001</formula>
      <formula>1</formula>
    </cfRule>
  </conditionalFormatting>
  <conditionalFormatting sqref="W169:X169">
    <cfRule type="cellIs" dxfId="168" priority="201" operator="equal">
      <formula>0</formula>
    </cfRule>
    <cfRule type="cellIs" dxfId="167" priority="202" operator="greaterThan">
      <formula>100</formula>
    </cfRule>
    <cfRule type="cellIs" dxfId="166" priority="203" operator="between">
      <formula>10</formula>
      <formula>100</formula>
    </cfRule>
    <cfRule type="cellIs" dxfId="165" priority="204" operator="between">
      <formula>1</formula>
      <formula>10</formula>
    </cfRule>
    <cfRule type="cellIs" dxfId="164" priority="205" operator="between">
      <formula>0.00000001</formula>
      <formula>1</formula>
    </cfRule>
  </conditionalFormatting>
  <conditionalFormatting sqref="W211:X278 M211:N321 R211:S321">
    <cfRule type="cellIs" dxfId="163" priority="6" operator="equal">
      <formula>0</formula>
    </cfRule>
    <cfRule type="cellIs" dxfId="162" priority="7" operator="greaterThan">
      <formula>100</formula>
    </cfRule>
    <cfRule type="cellIs" dxfId="161" priority="8" operator="between">
      <formula>10</formula>
      <formula>100</formula>
    </cfRule>
    <cfRule type="cellIs" dxfId="160" priority="9" operator="between">
      <formula>1</formula>
      <formula>10</formula>
    </cfRule>
    <cfRule type="cellIs" dxfId="159" priority="10" operator="between">
      <formula>0.00000001</formula>
      <formula>1</formula>
    </cfRule>
  </conditionalFormatting>
  <conditionalFormatting sqref="W325:X358">
    <cfRule type="cellIs" dxfId="158" priority="26" operator="equal">
      <formula>0</formula>
    </cfRule>
    <cfRule type="cellIs" dxfId="157" priority="27" operator="greaterThan">
      <formula>100</formula>
    </cfRule>
    <cfRule type="cellIs" dxfId="156" priority="28" operator="between">
      <formula>10</formula>
      <formula>100</formula>
    </cfRule>
    <cfRule type="cellIs" dxfId="155" priority="29" operator="between">
      <formula>1</formula>
      <formula>10</formula>
    </cfRule>
    <cfRule type="cellIs" dxfId="154" priority="30" operator="between">
      <formula>0.00000001</formula>
      <formula>1</formula>
    </cfRule>
  </conditionalFormatting>
  <conditionalFormatting sqref="W279:Y321">
    <cfRule type="cellIs" dxfId="153" priority="81" operator="equal">
      <formula>0</formula>
    </cfRule>
    <cfRule type="cellIs" dxfId="152" priority="82" operator="greaterThan">
      <formula>100</formula>
    </cfRule>
    <cfRule type="cellIs" dxfId="151" priority="83" operator="between">
      <formula>10</formula>
      <formula>100</formula>
    </cfRule>
    <cfRule type="cellIs" dxfId="150" priority="84" operator="between">
      <formula>1</formula>
      <formula>10</formula>
    </cfRule>
    <cfRule type="cellIs" dxfId="149" priority="85" operator="between">
      <formula>0.00000001</formula>
      <formula>1</formula>
    </cfRule>
  </conditionalFormatting>
  <conditionalFormatting sqref="Y324:Y358">
    <cfRule type="cellIs" dxfId="148" priority="41" operator="equal">
      <formula>0</formula>
    </cfRule>
    <cfRule type="cellIs" dxfId="147" priority="42" operator="greaterThan">
      <formula>100</formula>
    </cfRule>
    <cfRule type="cellIs" dxfId="146" priority="43" operator="between">
      <formula>10</formula>
      <formula>100</formula>
    </cfRule>
    <cfRule type="cellIs" dxfId="145" priority="44" operator="between">
      <formula>1</formula>
      <formula>10</formula>
    </cfRule>
    <cfRule type="cellIs" dxfId="144" priority="45" operator="between">
      <formula>0.00000001</formula>
      <formula>1</formula>
    </cfRule>
  </conditionalFormatting>
  <conditionalFormatting sqref="Y61:AB71">
    <cfRule type="cellIs" dxfId="143" priority="161" operator="equal">
      <formula>0</formula>
    </cfRule>
    <cfRule type="cellIs" dxfId="142" priority="162" operator="greaterThan">
      <formula>100</formula>
    </cfRule>
    <cfRule type="cellIs" dxfId="141" priority="163" operator="between">
      <formula>10</formula>
      <formula>100</formula>
    </cfRule>
    <cfRule type="cellIs" dxfId="140" priority="164" operator="between">
      <formula>1</formula>
      <formula>10</formula>
    </cfRule>
    <cfRule type="cellIs" dxfId="139" priority="165" operator="between">
      <formula>0.00000001</formula>
      <formula>1</formula>
    </cfRule>
  </conditionalFormatting>
  <conditionalFormatting sqref="Y116:AC120">
    <cfRule type="cellIs" dxfId="138" priority="146" operator="equal">
      <formula>0</formula>
    </cfRule>
    <cfRule type="cellIs" dxfId="137" priority="147" operator="greaterThan">
      <formula>100</formula>
    </cfRule>
    <cfRule type="cellIs" dxfId="136" priority="148" operator="between">
      <formula>10</formula>
      <formula>100</formula>
    </cfRule>
    <cfRule type="cellIs" dxfId="135" priority="149" operator="between">
      <formula>1</formula>
      <formula>10</formula>
    </cfRule>
    <cfRule type="cellIs" dxfId="134" priority="150" operator="between">
      <formula>0.00000001</formula>
      <formula>1</formula>
    </cfRule>
  </conditionalFormatting>
  <conditionalFormatting sqref="Y247:AC277">
    <cfRule type="cellIs" dxfId="133" priority="101" operator="equal">
      <formula>0</formula>
    </cfRule>
    <cfRule type="cellIs" dxfId="132" priority="102" operator="greaterThan">
      <formula>100</formula>
    </cfRule>
    <cfRule type="cellIs" dxfId="131" priority="103" operator="between">
      <formula>10</formula>
      <formula>100</formula>
    </cfRule>
    <cfRule type="cellIs" dxfId="130" priority="104" operator="between">
      <formula>1</formula>
      <formula>10</formula>
    </cfRule>
    <cfRule type="cellIs" dxfId="129" priority="105" operator="between">
      <formula>0.00000001</formula>
      <formula>1</formula>
    </cfRule>
  </conditionalFormatting>
  <conditionalFormatting sqref="Z279:AC308">
    <cfRule type="cellIs" dxfId="128" priority="91" operator="equal">
      <formula>0</formula>
    </cfRule>
    <cfRule type="cellIs" dxfId="127" priority="92" operator="greaterThan">
      <formula>100</formula>
    </cfRule>
    <cfRule type="cellIs" dxfId="126" priority="93" operator="between">
      <formula>10</formula>
      <formula>100</formula>
    </cfRule>
    <cfRule type="cellIs" dxfId="125" priority="94" operator="between">
      <formula>1</formula>
      <formula>10</formula>
    </cfRule>
    <cfRule type="cellIs" dxfId="124" priority="95" operator="between">
      <formula>0.00000001</formula>
      <formula>1</formula>
    </cfRule>
  </conditionalFormatting>
  <conditionalFormatting sqref="Z325:AC329">
    <cfRule type="cellIs" dxfId="123" priority="71" operator="equal">
      <formula>0</formula>
    </cfRule>
    <cfRule type="cellIs" dxfId="122" priority="72" operator="greaterThan">
      <formula>100</formula>
    </cfRule>
    <cfRule type="cellIs" dxfId="121" priority="73" operator="between">
      <formula>10</formula>
      <formula>100</formula>
    </cfRule>
    <cfRule type="cellIs" dxfId="120" priority="74" operator="between">
      <formula>1</formula>
      <formula>10</formula>
    </cfRule>
    <cfRule type="cellIs" dxfId="119" priority="75" operator="between">
      <formula>0.00000001</formula>
      <formula>1</formula>
    </cfRule>
  </conditionalFormatting>
  <conditionalFormatting sqref="Z331:AC338">
    <cfRule type="cellIs" dxfId="118" priority="61" operator="equal">
      <formula>0</formula>
    </cfRule>
    <cfRule type="cellIs" dxfId="117" priority="62" operator="greaterThan">
      <formula>100</formula>
    </cfRule>
    <cfRule type="cellIs" dxfId="116" priority="63" operator="between">
      <formula>10</formula>
      <formula>100</formula>
    </cfRule>
    <cfRule type="cellIs" dxfId="115" priority="64" operator="between">
      <formula>1</formula>
      <formula>10</formula>
    </cfRule>
    <cfRule type="cellIs" dxfId="114" priority="65" operator="between">
      <formula>0.00000001</formula>
      <formula>1</formula>
    </cfRule>
  </conditionalFormatting>
  <conditionalFormatting sqref="Z340:AC344">
    <cfRule type="cellIs" dxfId="113" priority="51" operator="equal">
      <formula>0</formula>
    </cfRule>
    <cfRule type="cellIs" dxfId="112" priority="52" operator="greaterThan">
      <formula>100</formula>
    </cfRule>
    <cfRule type="cellIs" dxfId="111" priority="53" operator="between">
      <formula>10</formula>
      <formula>100</formula>
    </cfRule>
    <cfRule type="cellIs" dxfId="110" priority="54" operator="between">
      <formula>1</formula>
      <formula>10</formula>
    </cfRule>
    <cfRule type="cellIs" dxfId="109" priority="55" operator="between">
      <formula>0.00000001</formula>
      <formula>1</formula>
    </cfRule>
  </conditionalFormatting>
  <conditionalFormatting sqref="Z346:AC358">
    <cfRule type="cellIs" dxfId="108" priority="21" operator="equal">
      <formula>0</formula>
    </cfRule>
    <cfRule type="cellIs" dxfId="107" priority="22" operator="greaterThan">
      <formula>100</formula>
    </cfRule>
    <cfRule type="cellIs" dxfId="106" priority="23" operator="between">
      <formula>10</formula>
      <formula>100</formula>
    </cfRule>
    <cfRule type="cellIs" dxfId="105" priority="24" operator="between">
      <formula>1</formula>
      <formula>10</formula>
    </cfRule>
    <cfRule type="cellIs" dxfId="104" priority="25" operator="between">
      <formula>0.00000001</formula>
      <formula>1</formula>
    </cfRule>
  </conditionalFormatting>
  <conditionalFormatting sqref="AC60:AC71">
    <cfRule type="cellIs" dxfId="103" priority="206" operator="equal">
      <formula>0</formula>
    </cfRule>
    <cfRule type="cellIs" dxfId="102" priority="207" operator="greaterThan">
      <formula>100</formula>
    </cfRule>
    <cfRule type="cellIs" dxfId="101" priority="208" operator="between">
      <formula>10</formula>
      <formula>100</formula>
    </cfRule>
    <cfRule type="cellIs" dxfId="100" priority="209" operator="between">
      <formula>1</formula>
      <formula>10</formula>
    </cfRule>
    <cfRule type="cellIs" dxfId="99" priority="210" operator="between">
      <formula>0.00000001</formula>
      <formula>1</formula>
    </cfRule>
  </conditionalFormatting>
  <conditionalFormatting sqref="AC121:AC148">
    <cfRule type="cellIs" dxfId="98" priority="211" operator="equal">
      <formula>0</formula>
    </cfRule>
    <cfRule type="cellIs" dxfId="97" priority="212" operator="greaterThan">
      <formula>100</formula>
    </cfRule>
    <cfRule type="cellIs" dxfId="96" priority="213" operator="between">
      <formula>10</formula>
      <formula>100</formula>
    </cfRule>
    <cfRule type="cellIs" dxfId="95" priority="214" operator="between">
      <formula>1</formula>
      <formula>10</formula>
    </cfRule>
    <cfRule type="cellIs" dxfId="94" priority="215" operator="between">
      <formula>0.00000001</formula>
      <formula>1</formula>
    </cfRule>
  </conditionalFormatting>
  <conditionalFormatting sqref="AC170:AC180">
    <cfRule type="cellIs" dxfId="93" priority="196" operator="equal">
      <formula>0</formula>
    </cfRule>
    <cfRule type="cellIs" dxfId="92" priority="197" operator="greaterThan">
      <formula>100</formula>
    </cfRule>
    <cfRule type="cellIs" dxfId="91" priority="198" operator="between">
      <formula>10</formula>
      <formula>100</formula>
    </cfRule>
    <cfRule type="cellIs" dxfId="90" priority="199" operator="between">
      <formula>1</formula>
      <formula>10</formula>
    </cfRule>
    <cfRule type="cellIs" dxfId="89" priority="200" operator="between">
      <formula>0.00000001</formula>
      <formula>1</formula>
    </cfRule>
  </conditionalFormatting>
  <conditionalFormatting sqref="AC210:AC214">
    <cfRule type="cellIs" dxfId="88" priority="191" operator="equal">
      <formula>0</formula>
    </cfRule>
    <cfRule type="cellIs" dxfId="87" priority="192" operator="greaterThan">
      <formula>100</formula>
    </cfRule>
    <cfRule type="cellIs" dxfId="86" priority="193" operator="between">
      <formula>10</formula>
      <formula>100</formula>
    </cfRule>
    <cfRule type="cellIs" dxfId="85" priority="194" operator="between">
      <formula>1</formula>
      <formula>10</formula>
    </cfRule>
    <cfRule type="cellIs" dxfId="84" priority="195" operator="between">
      <formula>0.00000001</formula>
      <formula>1</formula>
    </cfRule>
  </conditionalFormatting>
  <pageMargins left="0" right="0" top="0" bottom="0" header="0" footer="0"/>
  <pageSetup paperSize="9" scale="36" fitToHeight="0" orientation="landscape" r:id="rId4"/>
  <headerFooter scaleWithDoc="0" alignWithMargins="0">
    <oddFooter>&amp;C&amp;8&amp;P</oddFooter>
  </headerFooter>
  <rowBreaks count="4" manualBreakCount="4">
    <brk id="97" max="18" man="1"/>
    <brk id="158" max="18" man="1"/>
    <brk id="239" max="18" man="1"/>
    <brk id="289"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121F-E28B-4C62-BB8A-91796A479E32}">
  <sheetPr codeName="Feuil21"/>
  <dimension ref="A1:U128"/>
  <sheetViews>
    <sheetView workbookViewId="0"/>
  </sheetViews>
  <sheetFormatPr baseColWidth="10" defaultColWidth="10" defaultRowHeight="12.75" outlineLevelRow="1" outlineLevelCol="1"/>
  <cols>
    <col min="1" max="1" width="9.375" style="248" customWidth="1" collapsed="1"/>
    <col min="2" max="2" width="36.625" style="248" hidden="1" customWidth="1" outlineLevel="1"/>
    <col min="3" max="3" width="49.5" style="249" customWidth="1" collapsed="1"/>
    <col min="4" max="4" width="14.375" style="250" customWidth="1"/>
    <col min="5" max="5" width="6.25" style="248" customWidth="1"/>
    <col min="6" max="6" width="16.5" style="248" customWidth="1"/>
    <col min="7" max="7" width="16.5" style="248" hidden="1" customWidth="1" outlineLevel="1"/>
    <col min="8" max="8" width="16.5" style="248" customWidth="1" collapsed="1"/>
    <col min="9" max="9" width="16.5" style="248" customWidth="1"/>
    <col min="10" max="10" width="16.5" style="248" hidden="1" customWidth="1" outlineLevel="1"/>
    <col min="11" max="11" width="16.5" style="248" customWidth="1" collapsed="1"/>
    <col min="12" max="12" width="16.5" style="250" customWidth="1" collapsed="1"/>
    <col min="13" max="13" width="57.625" style="1230" customWidth="1"/>
    <col min="14" max="14" width="10" style="248"/>
    <col min="15" max="15" width="55.125" style="248" customWidth="1"/>
    <col min="16" max="16384" width="10" style="248"/>
  </cols>
  <sheetData>
    <row r="1" spans="1:21" s="184" customFormat="1" ht="19.5" customHeight="1" thickBot="1">
      <c r="A1" s="177"/>
      <c r="B1" s="178"/>
      <c r="C1" s="179" t="s">
        <v>961</v>
      </c>
      <c r="D1" s="180"/>
      <c r="E1" s="180"/>
      <c r="F1" s="180"/>
      <c r="G1" s="181"/>
      <c r="H1" s="181" t="s">
        <v>3874</v>
      </c>
      <c r="I1" s="178"/>
      <c r="J1" s="178"/>
      <c r="K1" s="178"/>
      <c r="L1" s="182"/>
      <c r="M1" s="183" t="s">
        <v>2609</v>
      </c>
    </row>
    <row r="2" spans="1:21" s="189" customFormat="1" ht="14.25" customHeight="1">
      <c r="A2" s="185"/>
      <c r="B2" s="186"/>
      <c r="C2" s="2016"/>
      <c r="D2" s="2017"/>
      <c r="E2" s="2017"/>
      <c r="F2" s="2017"/>
      <c r="G2" s="186"/>
      <c r="H2" s="186"/>
      <c r="I2" s="186"/>
      <c r="J2" s="186"/>
      <c r="K2" s="186"/>
      <c r="L2" s="187"/>
      <c r="M2" s="188"/>
    </row>
    <row r="3" spans="1:21" s="190" customFormat="1" ht="12.75" hidden="1" customHeight="1" outlineLevel="1">
      <c r="A3" s="1183"/>
      <c r="C3" s="191" t="s">
        <v>2989</v>
      </c>
      <c r="D3" s="192"/>
      <c r="E3" s="192" t="s">
        <v>2989</v>
      </c>
      <c r="F3" s="192" t="s">
        <v>1007</v>
      </c>
      <c r="G3" s="192" t="s">
        <v>2610</v>
      </c>
      <c r="H3" s="192" t="s">
        <v>2611</v>
      </c>
      <c r="I3" s="192" t="s">
        <v>2612</v>
      </c>
      <c r="J3" s="192" t="s">
        <v>2991</v>
      </c>
      <c r="K3" s="192" t="s">
        <v>2613</v>
      </c>
      <c r="L3" s="192"/>
      <c r="M3" s="1184" t="s">
        <v>2989</v>
      </c>
    </row>
    <row r="4" spans="1:21" s="190" customFormat="1" ht="25.5" customHeight="1" collapsed="1">
      <c r="A4" s="17" t="s">
        <v>970</v>
      </c>
      <c r="B4" s="17" t="s">
        <v>971</v>
      </c>
      <c r="C4" s="2018" t="s">
        <v>2992</v>
      </c>
      <c r="D4" s="2020" t="s">
        <v>2993</v>
      </c>
      <c r="E4" s="2021"/>
      <c r="F4" s="193" t="s">
        <v>2994</v>
      </c>
      <c r="G4" s="2022" t="s">
        <v>978</v>
      </c>
      <c r="H4" s="2023"/>
      <c r="I4" s="2023"/>
      <c r="J4" s="2024"/>
      <c r="K4" s="194" t="s">
        <v>979</v>
      </c>
      <c r="L4" s="195" t="s">
        <v>504</v>
      </c>
      <c r="M4" s="2025" t="s">
        <v>2995</v>
      </c>
    </row>
    <row r="5" spans="1:21" s="190" customFormat="1" ht="14.25" customHeight="1">
      <c r="A5" s="1975" t="s">
        <v>983</v>
      </c>
      <c r="B5" s="1340"/>
      <c r="C5" s="2019"/>
      <c r="D5" s="194"/>
      <c r="E5" s="196"/>
      <c r="F5" s="197"/>
      <c r="G5" s="198" t="s">
        <v>986</v>
      </c>
      <c r="H5" s="198" t="s">
        <v>987</v>
      </c>
      <c r="I5" s="199" t="s">
        <v>2616</v>
      </c>
      <c r="J5" s="199" t="s">
        <v>2996</v>
      </c>
      <c r="K5" s="198" t="s">
        <v>989</v>
      </c>
      <c r="L5" s="194"/>
      <c r="M5" s="2026"/>
    </row>
    <row r="6" spans="1:21" s="190" customFormat="1" ht="12.75" customHeight="1">
      <c r="A6" s="1976"/>
      <c r="B6" s="1341"/>
      <c r="C6" s="2019"/>
      <c r="D6" s="198" t="s">
        <v>2617</v>
      </c>
      <c r="E6" s="200"/>
      <c r="F6" s="197"/>
      <c r="G6" s="198" t="s">
        <v>991</v>
      </c>
      <c r="H6" s="198" t="s">
        <v>992</v>
      </c>
      <c r="I6" s="199" t="s">
        <v>2618</v>
      </c>
      <c r="J6" s="199" t="s">
        <v>2997</v>
      </c>
      <c r="K6" s="198" t="s">
        <v>994</v>
      </c>
      <c r="L6" s="198" t="s">
        <v>2619</v>
      </c>
      <c r="M6" s="2026"/>
    </row>
    <row r="7" spans="1:21" s="210" customFormat="1" ht="24">
      <c r="A7" s="201"/>
      <c r="B7" s="201"/>
      <c r="C7" s="202"/>
      <c r="D7" s="203"/>
      <c r="E7" s="204" t="s">
        <v>2998</v>
      </c>
      <c r="F7" s="205" t="s">
        <v>1007</v>
      </c>
      <c r="G7" s="206" t="s">
        <v>1008</v>
      </c>
      <c r="H7" s="206" t="s">
        <v>1008</v>
      </c>
      <c r="I7" s="206" t="s">
        <v>1008</v>
      </c>
      <c r="J7" s="206" t="s">
        <v>1008</v>
      </c>
      <c r="K7" s="207" t="s">
        <v>1009</v>
      </c>
      <c r="L7" s="208"/>
      <c r="M7" s="209"/>
      <c r="U7" s="190"/>
    </row>
    <row r="8" spans="1:21" s="190" customFormat="1" ht="15.75" customHeight="1">
      <c r="A8" s="130" t="s">
        <v>2999</v>
      </c>
      <c r="B8" s="130"/>
      <c r="C8" s="211" t="s">
        <v>3000</v>
      </c>
      <c r="D8" s="212"/>
      <c r="E8" s="213"/>
      <c r="F8" s="213"/>
      <c r="G8" s="213"/>
      <c r="H8" s="213"/>
      <c r="I8" s="214"/>
      <c r="J8" s="214"/>
      <c r="K8" s="213"/>
      <c r="L8" s="212"/>
      <c r="M8" s="215" t="s">
        <v>3001</v>
      </c>
      <c r="N8" s="216"/>
      <c r="O8" s="216"/>
      <c r="P8" s="216"/>
      <c r="Q8" s="216"/>
      <c r="R8" s="216"/>
      <c r="S8" s="216"/>
      <c r="T8" s="216"/>
      <c r="U8" s="216"/>
    </row>
    <row r="9" spans="1:21" s="190" customFormat="1" ht="15.75" customHeight="1">
      <c r="A9" s="121" t="s">
        <v>3002</v>
      </c>
      <c r="B9" s="217" t="s">
        <v>3003</v>
      </c>
      <c r="C9" s="218" t="s">
        <v>3004</v>
      </c>
      <c r="D9" s="219" t="s">
        <v>3005</v>
      </c>
      <c r="E9" s="219" t="s">
        <v>186</v>
      </c>
      <c r="F9" s="220">
        <v>408</v>
      </c>
      <c r="G9" s="221">
        <v>1.26</v>
      </c>
      <c r="H9" s="221">
        <v>1.3899999999999999E-2</v>
      </c>
      <c r="I9" s="221">
        <v>1.25</v>
      </c>
      <c r="J9" s="221">
        <v>0</v>
      </c>
      <c r="K9" s="221">
        <v>0.32400000000000001</v>
      </c>
      <c r="L9" s="222" t="s">
        <v>3006</v>
      </c>
      <c r="M9" s="223" t="s">
        <v>201</v>
      </c>
    </row>
    <row r="10" spans="1:21" s="190" customFormat="1" ht="15.75" customHeight="1">
      <c r="A10" s="121" t="s">
        <v>3007</v>
      </c>
      <c r="B10" s="217" t="s">
        <v>3008</v>
      </c>
      <c r="C10" s="218" t="s">
        <v>3009</v>
      </c>
      <c r="D10" s="219" t="s">
        <v>3005</v>
      </c>
      <c r="E10" s="219" t="s">
        <v>186</v>
      </c>
      <c r="F10" s="224">
        <v>274</v>
      </c>
      <c r="G10" s="225">
        <v>1.05</v>
      </c>
      <c r="H10" s="225">
        <v>2.9199999999999999E-3</v>
      </c>
      <c r="I10" s="225">
        <v>1.05</v>
      </c>
      <c r="J10" s="225">
        <v>0</v>
      </c>
      <c r="K10" s="225">
        <v>0.23</v>
      </c>
      <c r="L10" s="222" t="s">
        <v>3006</v>
      </c>
      <c r="M10" s="223" t="s">
        <v>204</v>
      </c>
    </row>
    <row r="11" spans="1:21" s="190" customFormat="1" ht="15.75" customHeight="1">
      <c r="A11" s="121" t="s">
        <v>3010</v>
      </c>
      <c r="B11" s="217" t="s">
        <v>3011</v>
      </c>
      <c r="C11" s="218" t="s">
        <v>3012</v>
      </c>
      <c r="D11" s="219" t="s">
        <v>3005</v>
      </c>
      <c r="E11" s="219" t="s">
        <v>186</v>
      </c>
      <c r="F11" s="220">
        <v>367</v>
      </c>
      <c r="G11" s="221">
        <v>1.22</v>
      </c>
      <c r="H11" s="221">
        <v>5.79E-3</v>
      </c>
      <c r="I11" s="221">
        <v>1.21</v>
      </c>
      <c r="J11" s="221">
        <v>0</v>
      </c>
      <c r="K11" s="221">
        <v>0.29199999999999998</v>
      </c>
      <c r="L11" s="222" t="s">
        <v>3006</v>
      </c>
      <c r="M11" s="223" t="s">
        <v>3013</v>
      </c>
      <c r="N11" s="210"/>
    </row>
    <row r="12" spans="1:21" s="190" customFormat="1" ht="15.75" customHeight="1">
      <c r="A12" s="121" t="s">
        <v>3014</v>
      </c>
      <c r="B12" s="217" t="s">
        <v>3015</v>
      </c>
      <c r="C12" s="218" t="s">
        <v>3016</v>
      </c>
      <c r="D12" s="219" t="s">
        <v>3005</v>
      </c>
      <c r="E12" s="219" t="s">
        <v>186</v>
      </c>
      <c r="F12" s="220">
        <v>596</v>
      </c>
      <c r="G12" s="221">
        <v>1.44</v>
      </c>
      <c r="H12" s="221">
        <v>1.46E-2</v>
      </c>
      <c r="I12" s="221">
        <v>1.43</v>
      </c>
      <c r="J12" s="221">
        <v>0</v>
      </c>
      <c r="K12" s="221">
        <v>0.434</v>
      </c>
      <c r="L12" s="222" t="s">
        <v>3006</v>
      </c>
      <c r="M12" s="223" t="s">
        <v>3017</v>
      </c>
      <c r="N12" s="210"/>
    </row>
    <row r="13" spans="1:21" s="190" customFormat="1" ht="15.75" customHeight="1">
      <c r="A13" s="121" t="s">
        <v>3018</v>
      </c>
      <c r="B13" s="217" t="s">
        <v>3019</v>
      </c>
      <c r="C13" s="218" t="s">
        <v>3020</v>
      </c>
      <c r="D13" s="219" t="s">
        <v>3005</v>
      </c>
      <c r="E13" s="219" t="s">
        <v>186</v>
      </c>
      <c r="F13" s="220">
        <v>726</v>
      </c>
      <c r="G13" s="221">
        <v>1.18</v>
      </c>
      <c r="H13" s="221">
        <v>9.4599999999999997E-3</v>
      </c>
      <c r="I13" s="221">
        <v>1.18</v>
      </c>
      <c r="J13" s="221">
        <v>0</v>
      </c>
      <c r="K13" s="221">
        <v>0.39800000000000002</v>
      </c>
      <c r="L13" s="222" t="s">
        <v>3006</v>
      </c>
      <c r="M13" s="223" t="s">
        <v>3021</v>
      </c>
      <c r="N13" s="210"/>
    </row>
    <row r="14" spans="1:21" s="190" customFormat="1" ht="15.75" customHeight="1">
      <c r="A14" s="121" t="s">
        <v>3022</v>
      </c>
      <c r="B14" s="217" t="s">
        <v>3023</v>
      </c>
      <c r="C14" s="218" t="s">
        <v>3024</v>
      </c>
      <c r="D14" s="219" t="s">
        <v>3005</v>
      </c>
      <c r="E14" s="219" t="s">
        <v>186</v>
      </c>
      <c r="F14" s="224">
        <v>175</v>
      </c>
      <c r="G14" s="225">
        <v>1.05</v>
      </c>
      <c r="H14" s="225">
        <v>1.01</v>
      </c>
      <c r="I14" s="225">
        <v>4.3900000000000002E-2</v>
      </c>
      <c r="J14" s="225">
        <v>0</v>
      </c>
      <c r="K14" s="225">
        <v>2.3E-2</v>
      </c>
      <c r="L14" s="222" t="s">
        <v>3006</v>
      </c>
      <c r="M14" s="223" t="s">
        <v>196</v>
      </c>
      <c r="N14" s="210"/>
    </row>
    <row r="15" spans="1:21" s="190" customFormat="1" ht="15.75" hidden="1" customHeight="1" outlineLevel="1">
      <c r="A15" s="121" t="s">
        <v>3025</v>
      </c>
      <c r="B15" s="217" t="s">
        <v>3026</v>
      </c>
      <c r="C15" s="218" t="s">
        <v>3027</v>
      </c>
      <c r="D15" s="219" t="s">
        <v>3005</v>
      </c>
      <c r="E15" s="219" t="s">
        <v>186</v>
      </c>
      <c r="F15" s="224">
        <v>175</v>
      </c>
      <c r="G15" s="225">
        <v>1.05</v>
      </c>
      <c r="H15" s="225">
        <v>1.01</v>
      </c>
      <c r="I15" s="225">
        <v>4.3900000000000002E-2</v>
      </c>
      <c r="J15" s="225">
        <v>0</v>
      </c>
      <c r="K15" s="225">
        <v>2.3E-2</v>
      </c>
      <c r="L15" s="222" t="s">
        <v>3006</v>
      </c>
      <c r="M15" s="223" t="s">
        <v>3028</v>
      </c>
      <c r="N15" s="210"/>
    </row>
    <row r="16" spans="1:21" s="190" customFormat="1" ht="15.75" customHeight="1" collapsed="1">
      <c r="A16" s="121" t="s">
        <v>3029</v>
      </c>
      <c r="B16" s="217" t="s">
        <v>3030</v>
      </c>
      <c r="C16" s="218" t="s">
        <v>3031</v>
      </c>
      <c r="D16" s="219" t="s">
        <v>3005</v>
      </c>
      <c r="E16" s="219" t="s">
        <v>186</v>
      </c>
      <c r="F16" s="224">
        <v>115</v>
      </c>
      <c r="G16" s="225">
        <v>1.06</v>
      </c>
      <c r="H16" s="225">
        <v>1.03</v>
      </c>
      <c r="I16" s="225">
        <v>3.0700000000000002E-2</v>
      </c>
      <c r="J16" s="225">
        <v>0</v>
      </c>
      <c r="K16" s="225">
        <v>1.0699999999999999E-2</v>
      </c>
      <c r="L16" s="222" t="s">
        <v>3006</v>
      </c>
      <c r="M16" s="223" t="s">
        <v>3032</v>
      </c>
      <c r="N16" s="210"/>
    </row>
    <row r="17" spans="1:14" s="190" customFormat="1" ht="15.75" hidden="1" customHeight="1" outlineLevel="1">
      <c r="A17" s="121" t="s">
        <v>3033</v>
      </c>
      <c r="B17" s="217" t="s">
        <v>3034</v>
      </c>
      <c r="C17" s="218" t="s">
        <v>3035</v>
      </c>
      <c r="D17" s="219" t="s">
        <v>3005</v>
      </c>
      <c r="E17" s="219" t="s">
        <v>186</v>
      </c>
      <c r="F17" s="224">
        <v>115</v>
      </c>
      <c r="G17" s="225">
        <v>1.06</v>
      </c>
      <c r="H17" s="225">
        <v>1.03</v>
      </c>
      <c r="I17" s="225">
        <v>3.0700000000000002E-2</v>
      </c>
      <c r="J17" s="225">
        <v>0</v>
      </c>
      <c r="K17" s="225">
        <v>1.0699999999999999E-2</v>
      </c>
      <c r="L17" s="222" t="s">
        <v>3006</v>
      </c>
      <c r="M17" s="223" t="s">
        <v>3036</v>
      </c>
      <c r="N17" s="210"/>
    </row>
    <row r="18" spans="1:14" s="190" customFormat="1" ht="15.75" customHeight="1" collapsed="1">
      <c r="A18" s="121" t="s">
        <v>3037</v>
      </c>
      <c r="B18" s="217" t="s">
        <v>3038</v>
      </c>
      <c r="C18" s="218" t="s">
        <v>3039</v>
      </c>
      <c r="D18" s="219" t="s">
        <v>3005</v>
      </c>
      <c r="E18" s="219" t="s">
        <v>186</v>
      </c>
      <c r="F18" s="224">
        <v>110</v>
      </c>
      <c r="G18" s="225">
        <v>1.18</v>
      </c>
      <c r="H18" s="225">
        <v>1.05</v>
      </c>
      <c r="I18" s="225">
        <v>0.128</v>
      </c>
      <c r="J18" s="225">
        <v>0</v>
      </c>
      <c r="K18" s="225">
        <v>2.7699999999999999E-2</v>
      </c>
      <c r="L18" s="222" t="s">
        <v>3006</v>
      </c>
      <c r="M18" s="223" t="s">
        <v>85</v>
      </c>
      <c r="N18" s="210"/>
    </row>
    <row r="19" spans="1:14" s="190" customFormat="1" ht="15.75" hidden="1" customHeight="1" outlineLevel="1">
      <c r="A19" s="121" t="s">
        <v>3040</v>
      </c>
      <c r="B19" s="217" t="s">
        <v>3041</v>
      </c>
      <c r="C19" s="218" t="s">
        <v>3042</v>
      </c>
      <c r="D19" s="219" t="s">
        <v>3005</v>
      </c>
      <c r="E19" s="219" t="s">
        <v>186</v>
      </c>
      <c r="F19" s="224">
        <v>110</v>
      </c>
      <c r="G19" s="225">
        <v>1.18</v>
      </c>
      <c r="H19" s="225">
        <v>1.05</v>
      </c>
      <c r="I19" s="225">
        <v>0.128</v>
      </c>
      <c r="J19" s="225">
        <v>0</v>
      </c>
      <c r="K19" s="225">
        <v>2.7699999999999999E-2</v>
      </c>
      <c r="L19" s="222" t="s">
        <v>3006</v>
      </c>
      <c r="M19" s="223" t="s">
        <v>3043</v>
      </c>
      <c r="N19" s="210"/>
    </row>
    <row r="20" spans="1:14" s="190" customFormat="1" ht="15.75" customHeight="1" collapsed="1">
      <c r="A20" s="121" t="s">
        <v>3044</v>
      </c>
      <c r="B20" s="217" t="s">
        <v>3045</v>
      </c>
      <c r="C20" s="218" t="s">
        <v>3046</v>
      </c>
      <c r="D20" s="219" t="s">
        <v>3005</v>
      </c>
      <c r="E20" s="219" t="s">
        <v>186</v>
      </c>
      <c r="F20" s="224">
        <v>155</v>
      </c>
      <c r="G20" s="225">
        <v>0.32200000000000001</v>
      </c>
      <c r="H20" s="225">
        <v>2.8899999999999999E-2</v>
      </c>
      <c r="I20" s="225">
        <v>0.29299999999999998</v>
      </c>
      <c r="J20" s="225">
        <v>0</v>
      </c>
      <c r="K20" s="225">
        <v>0.124</v>
      </c>
      <c r="L20" s="222" t="s">
        <v>3006</v>
      </c>
      <c r="M20" s="223" t="s">
        <v>3047</v>
      </c>
      <c r="N20" s="210"/>
    </row>
    <row r="21" spans="1:14" s="190" customFormat="1" ht="15.6" customHeight="1">
      <c r="A21" s="121"/>
      <c r="B21" s="226"/>
      <c r="C21" s="218" t="s">
        <v>3048</v>
      </c>
      <c r="D21" s="219"/>
      <c r="E21" s="219"/>
      <c r="F21" s="220"/>
      <c r="G21" s="221"/>
      <c r="H21" s="221"/>
      <c r="I21" s="221"/>
      <c r="J21" s="221"/>
      <c r="K21" s="221"/>
      <c r="L21" s="222"/>
      <c r="M21" s="223" t="s">
        <v>3049</v>
      </c>
      <c r="N21" s="210"/>
    </row>
    <row r="22" spans="1:14" s="190" customFormat="1" ht="15.75" customHeight="1">
      <c r="A22" s="130" t="s">
        <v>3050</v>
      </c>
      <c r="B22" s="746"/>
      <c r="C22" s="211" t="s">
        <v>3051</v>
      </c>
      <c r="D22" s="212"/>
      <c r="E22" s="227" t="s">
        <v>2989</v>
      </c>
      <c r="F22" s="228"/>
      <c r="G22" s="228"/>
      <c r="H22" s="228"/>
      <c r="I22" s="228"/>
      <c r="J22" s="228"/>
      <c r="K22" s="228"/>
      <c r="L22" s="229"/>
      <c r="M22" s="215" t="s">
        <v>3052</v>
      </c>
      <c r="N22" s="210"/>
    </row>
    <row r="23" spans="1:14" s="235" customFormat="1" ht="15.75" customHeight="1">
      <c r="A23" s="226" t="s">
        <v>3053</v>
      </c>
      <c r="B23" s="217" t="s">
        <v>3054</v>
      </c>
      <c r="C23" s="230" t="s">
        <v>3055</v>
      </c>
      <c r="D23" s="231" t="s">
        <v>3005</v>
      </c>
      <c r="E23" s="231" t="s">
        <v>186</v>
      </c>
      <c r="F23" s="224">
        <v>13.6</v>
      </c>
      <c r="G23" s="225">
        <v>6.9699999999999998E-2</v>
      </c>
      <c r="H23" s="225">
        <v>1.0999999999999999E-2</v>
      </c>
      <c r="I23" s="225">
        <v>5.8700000000000002E-2</v>
      </c>
      <c r="J23" s="225">
        <v>0</v>
      </c>
      <c r="K23" s="225">
        <v>3.31E-3</v>
      </c>
      <c r="L23" s="232" t="s">
        <v>3006</v>
      </c>
      <c r="M23" s="233" t="s">
        <v>3056</v>
      </c>
      <c r="N23" s="234"/>
    </row>
    <row r="24" spans="1:14" s="190" customFormat="1" ht="15.75" customHeight="1">
      <c r="A24" s="121" t="s">
        <v>3057</v>
      </c>
      <c r="B24" s="217" t="s">
        <v>3058</v>
      </c>
      <c r="C24" s="218" t="s">
        <v>3059</v>
      </c>
      <c r="D24" s="219" t="s">
        <v>3005</v>
      </c>
      <c r="E24" s="219" t="s">
        <v>186</v>
      </c>
      <c r="F24" s="224">
        <v>508</v>
      </c>
      <c r="G24" s="225">
        <v>1.58</v>
      </c>
      <c r="H24" s="225">
        <v>2.1600000000000001E-2</v>
      </c>
      <c r="I24" s="225">
        <v>1.56</v>
      </c>
      <c r="J24" s="225">
        <v>0</v>
      </c>
      <c r="K24" s="225">
        <v>0.40100000000000002</v>
      </c>
      <c r="L24" s="222" t="s">
        <v>3006</v>
      </c>
      <c r="M24" s="223" t="s">
        <v>3060</v>
      </c>
      <c r="N24" s="210"/>
    </row>
    <row r="25" spans="1:14" s="190" customFormat="1" ht="15.75" customHeight="1">
      <c r="A25" s="121" t="s">
        <v>3061</v>
      </c>
      <c r="B25" s="217" t="s">
        <v>3062</v>
      </c>
      <c r="C25" s="218" t="s">
        <v>3063</v>
      </c>
      <c r="D25" s="219" t="s">
        <v>3005</v>
      </c>
      <c r="E25" s="219" t="s">
        <v>186</v>
      </c>
      <c r="F25" s="224">
        <v>365</v>
      </c>
      <c r="G25" s="225">
        <v>1.41</v>
      </c>
      <c r="H25" s="225">
        <v>1.47E-2</v>
      </c>
      <c r="I25" s="225">
        <v>1.4</v>
      </c>
      <c r="J25" s="225">
        <v>0</v>
      </c>
      <c r="K25" s="225">
        <v>0.30099999999999999</v>
      </c>
      <c r="L25" s="222" t="s">
        <v>3006</v>
      </c>
      <c r="M25" s="223" t="s">
        <v>3064</v>
      </c>
      <c r="N25" s="210"/>
    </row>
    <row r="26" spans="1:14" s="190" customFormat="1" ht="15.75" customHeight="1">
      <c r="A26" s="121" t="s">
        <v>3065</v>
      </c>
      <c r="B26" s="217" t="s">
        <v>3066</v>
      </c>
      <c r="C26" s="218" t="s">
        <v>3067</v>
      </c>
      <c r="D26" s="219" t="s">
        <v>3005</v>
      </c>
      <c r="E26" s="219" t="s">
        <v>186</v>
      </c>
      <c r="F26" s="224">
        <v>165</v>
      </c>
      <c r="G26" s="225">
        <v>1.61</v>
      </c>
      <c r="H26" s="225">
        <v>1.47</v>
      </c>
      <c r="I26" s="225">
        <v>0.14499999999999999</v>
      </c>
      <c r="J26" s="225">
        <v>0</v>
      </c>
      <c r="K26" s="225">
        <v>2.4500000000000001E-2</v>
      </c>
      <c r="L26" s="222" t="s">
        <v>3006</v>
      </c>
      <c r="M26" s="223" t="s">
        <v>3068</v>
      </c>
      <c r="N26" s="210"/>
    </row>
    <row r="27" spans="1:14" s="190" customFormat="1" ht="15.75" customHeight="1">
      <c r="A27" s="121" t="s">
        <v>3069</v>
      </c>
      <c r="B27" s="217" t="s">
        <v>3070</v>
      </c>
      <c r="C27" s="218" t="s">
        <v>3071</v>
      </c>
      <c r="D27" s="219" t="s">
        <v>3005</v>
      </c>
      <c r="E27" s="219" t="s">
        <v>186</v>
      </c>
      <c r="F27" s="224">
        <v>49.9</v>
      </c>
      <c r="G27" s="225">
        <v>0.56499999999999995</v>
      </c>
      <c r="H27" s="225">
        <v>0.48699999999999999</v>
      </c>
      <c r="I27" s="225">
        <v>7.8299999999999995E-2</v>
      </c>
      <c r="J27" s="225">
        <v>0</v>
      </c>
      <c r="K27" s="225">
        <v>1.3299999999999999E-2</v>
      </c>
      <c r="L27" s="222" t="s">
        <v>3006</v>
      </c>
      <c r="M27" s="223" t="s">
        <v>3072</v>
      </c>
      <c r="N27" s="210"/>
    </row>
    <row r="28" spans="1:14" s="190" customFormat="1" ht="15.75" customHeight="1">
      <c r="A28" s="121" t="s">
        <v>3073</v>
      </c>
      <c r="B28" s="217" t="s">
        <v>3074</v>
      </c>
      <c r="C28" s="230" t="s">
        <v>3075</v>
      </c>
      <c r="D28" s="219" t="s">
        <v>3005</v>
      </c>
      <c r="E28" s="219" t="s">
        <v>186</v>
      </c>
      <c r="F28" s="224">
        <v>176</v>
      </c>
      <c r="G28" s="225">
        <v>0.878</v>
      </c>
      <c r="H28" s="225">
        <v>0.187</v>
      </c>
      <c r="I28" s="225">
        <v>0.69099999999999995</v>
      </c>
      <c r="J28" s="225">
        <v>0</v>
      </c>
      <c r="K28" s="225">
        <v>4.6100000000000002E-2</v>
      </c>
      <c r="L28" s="222" t="s">
        <v>3006</v>
      </c>
      <c r="M28" s="233" t="s">
        <v>3076</v>
      </c>
      <c r="N28" s="210"/>
    </row>
    <row r="29" spans="1:14" s="190" customFormat="1" ht="15.75" customHeight="1">
      <c r="A29" s="121" t="s">
        <v>3077</v>
      </c>
      <c r="B29" s="217" t="s">
        <v>3078</v>
      </c>
      <c r="C29" s="230" t="s">
        <v>3079</v>
      </c>
      <c r="D29" s="219" t="s">
        <v>3005</v>
      </c>
      <c r="E29" s="219" t="s">
        <v>186</v>
      </c>
      <c r="F29" s="224">
        <v>215</v>
      </c>
      <c r="G29" s="225">
        <v>1.76</v>
      </c>
      <c r="H29" s="225">
        <v>0.96699999999999997</v>
      </c>
      <c r="I29" s="225">
        <v>0.79500000000000004</v>
      </c>
      <c r="J29" s="225">
        <v>0</v>
      </c>
      <c r="K29" s="225">
        <v>5.6099999999999997E-2</v>
      </c>
      <c r="L29" s="222" t="s">
        <v>3006</v>
      </c>
      <c r="M29" s="233" t="s">
        <v>3080</v>
      </c>
      <c r="N29" s="210"/>
    </row>
    <row r="30" spans="1:14" s="190" customFormat="1" ht="15.75" customHeight="1">
      <c r="A30" s="121" t="s">
        <v>3081</v>
      </c>
      <c r="B30" s="217" t="s">
        <v>3082</v>
      </c>
      <c r="C30" s="230" t="s">
        <v>3083</v>
      </c>
      <c r="D30" s="219" t="s">
        <v>3005</v>
      </c>
      <c r="E30" s="219" t="s">
        <v>186</v>
      </c>
      <c r="F30" s="224">
        <v>223</v>
      </c>
      <c r="G30" s="225">
        <v>1.78</v>
      </c>
      <c r="H30" s="225">
        <v>0.96799999999999997</v>
      </c>
      <c r="I30" s="225">
        <v>0.81599999999999995</v>
      </c>
      <c r="J30" s="225">
        <v>0</v>
      </c>
      <c r="K30" s="225">
        <v>6.0199999999999997E-2</v>
      </c>
      <c r="L30" s="222" t="s">
        <v>3006</v>
      </c>
      <c r="M30" s="233" t="s">
        <v>3084</v>
      </c>
      <c r="N30" s="210"/>
    </row>
    <row r="31" spans="1:14" s="190" customFormat="1" ht="15.75" customHeight="1">
      <c r="A31" s="121" t="s">
        <v>3085</v>
      </c>
      <c r="B31" s="217" t="s">
        <v>3086</v>
      </c>
      <c r="C31" s="218" t="s">
        <v>3087</v>
      </c>
      <c r="D31" s="219" t="s">
        <v>3005</v>
      </c>
      <c r="E31" s="219" t="s">
        <v>186</v>
      </c>
      <c r="F31" s="220">
        <v>88.4</v>
      </c>
      <c r="G31" s="221">
        <v>1.41</v>
      </c>
      <c r="H31" s="221">
        <v>1.26</v>
      </c>
      <c r="I31" s="221">
        <v>0.14499999999999999</v>
      </c>
      <c r="J31" s="221">
        <v>0</v>
      </c>
      <c r="K31" s="221">
        <v>1.9900000000000001E-2</v>
      </c>
      <c r="L31" s="222" t="s">
        <v>3006</v>
      </c>
      <c r="M31" s="223" t="s">
        <v>3088</v>
      </c>
      <c r="N31" s="210"/>
    </row>
    <row r="32" spans="1:14" s="190" customFormat="1" ht="15.75" customHeight="1">
      <c r="A32" s="121" t="s">
        <v>3089</v>
      </c>
      <c r="B32" s="217" t="s">
        <v>3090</v>
      </c>
      <c r="C32" s="218" t="s">
        <v>3091</v>
      </c>
      <c r="D32" s="219" t="s">
        <v>3005</v>
      </c>
      <c r="E32" s="219" t="s">
        <v>186</v>
      </c>
      <c r="F32" s="220">
        <v>63.1</v>
      </c>
      <c r="G32" s="221">
        <v>0.54400000000000004</v>
      </c>
      <c r="H32" s="221">
        <v>0.432</v>
      </c>
      <c r="I32" s="221">
        <v>0.112</v>
      </c>
      <c r="J32" s="221">
        <v>0</v>
      </c>
      <c r="K32" s="221">
        <v>1.4500000000000001E-2</v>
      </c>
      <c r="L32" s="222" t="s">
        <v>3006</v>
      </c>
      <c r="M32" s="223" t="s">
        <v>3092</v>
      </c>
      <c r="N32" s="210"/>
    </row>
    <row r="33" spans="1:14" s="190" customFormat="1" ht="15.75" customHeight="1">
      <c r="A33" s="121" t="s">
        <v>3093</v>
      </c>
      <c r="B33" s="217" t="s">
        <v>3094</v>
      </c>
      <c r="C33" s="218" t="s">
        <v>3095</v>
      </c>
      <c r="D33" s="219" t="s">
        <v>3005</v>
      </c>
      <c r="E33" s="219" t="s">
        <v>186</v>
      </c>
      <c r="F33" s="224">
        <v>11.2</v>
      </c>
      <c r="G33" s="225">
        <v>5.3199999999999997E-2</v>
      </c>
      <c r="H33" s="225">
        <v>1.0999999999999999E-2</v>
      </c>
      <c r="I33" s="225">
        <v>4.2200000000000001E-2</v>
      </c>
      <c r="J33" s="225">
        <v>0</v>
      </c>
      <c r="K33" s="225">
        <v>3.2499999999999999E-3</v>
      </c>
      <c r="L33" s="222" t="s">
        <v>3006</v>
      </c>
      <c r="M33" s="223" t="s">
        <v>3096</v>
      </c>
      <c r="N33" s="210"/>
    </row>
    <row r="34" spans="1:14" s="190" customFormat="1" ht="15.75" customHeight="1">
      <c r="A34" s="121" t="s">
        <v>3097</v>
      </c>
      <c r="B34" s="217" t="s">
        <v>3098</v>
      </c>
      <c r="C34" s="218" t="s">
        <v>3099</v>
      </c>
      <c r="D34" s="219" t="s">
        <v>3005</v>
      </c>
      <c r="E34" s="219" t="s">
        <v>186</v>
      </c>
      <c r="F34" s="224">
        <v>184</v>
      </c>
      <c r="G34" s="225">
        <v>0.54700000000000004</v>
      </c>
      <c r="H34" s="225">
        <v>1.37E-2</v>
      </c>
      <c r="I34" s="225">
        <v>0.53400000000000003</v>
      </c>
      <c r="J34" s="225">
        <v>0</v>
      </c>
      <c r="K34" s="225">
        <v>0.13100000000000001</v>
      </c>
      <c r="L34" s="222" t="s">
        <v>3006</v>
      </c>
      <c r="M34" s="223" t="s">
        <v>3100</v>
      </c>
      <c r="N34" s="210"/>
    </row>
    <row r="35" spans="1:14" s="190" customFormat="1" ht="15.75" customHeight="1">
      <c r="A35" s="121" t="s">
        <v>3101</v>
      </c>
      <c r="B35" s="217" t="s">
        <v>3102</v>
      </c>
      <c r="C35" s="218" t="s">
        <v>3103</v>
      </c>
      <c r="D35" s="219" t="s">
        <v>3005</v>
      </c>
      <c r="E35" s="219" t="s">
        <v>186</v>
      </c>
      <c r="F35" s="224">
        <v>134</v>
      </c>
      <c r="G35" s="225">
        <v>0.50700000000000001</v>
      </c>
      <c r="H35" s="225">
        <v>1.2200000000000001E-2</v>
      </c>
      <c r="I35" s="225">
        <v>0.495</v>
      </c>
      <c r="J35" s="225">
        <v>0</v>
      </c>
      <c r="K35" s="225">
        <v>0.106</v>
      </c>
      <c r="L35" s="222" t="s">
        <v>3006</v>
      </c>
      <c r="M35" s="223" t="s">
        <v>3104</v>
      </c>
      <c r="N35" s="210"/>
    </row>
    <row r="36" spans="1:14" s="190" customFormat="1" ht="15.75" customHeight="1">
      <c r="A36" s="121" t="s">
        <v>3105</v>
      </c>
      <c r="B36" s="217" t="s">
        <v>3106</v>
      </c>
      <c r="C36" s="218" t="s">
        <v>3107</v>
      </c>
      <c r="D36" s="219" t="s">
        <v>3005</v>
      </c>
      <c r="E36" s="219" t="s">
        <v>186</v>
      </c>
      <c r="F36" s="224">
        <v>83.1</v>
      </c>
      <c r="G36" s="225">
        <v>0.19400000000000001</v>
      </c>
      <c r="H36" s="225">
        <v>2.3300000000000001E-2</v>
      </c>
      <c r="I36" s="225">
        <v>0.17100000000000001</v>
      </c>
      <c r="J36" s="225">
        <v>0</v>
      </c>
      <c r="K36" s="225">
        <v>6.0299999999999999E-2</v>
      </c>
      <c r="L36" s="222" t="s">
        <v>3006</v>
      </c>
      <c r="M36" s="223" t="s">
        <v>3108</v>
      </c>
      <c r="N36" s="210"/>
    </row>
    <row r="37" spans="1:14" s="190" customFormat="1" ht="15.75" customHeight="1">
      <c r="A37" s="121" t="s">
        <v>3109</v>
      </c>
      <c r="B37" s="217" t="s">
        <v>3110</v>
      </c>
      <c r="C37" s="218" t="s">
        <v>3111</v>
      </c>
      <c r="D37" s="219" t="s">
        <v>3005</v>
      </c>
      <c r="E37" s="219" t="s">
        <v>186</v>
      </c>
      <c r="F37" s="224">
        <v>123</v>
      </c>
      <c r="G37" s="225">
        <v>0.77400000000000002</v>
      </c>
      <c r="H37" s="225">
        <v>0.439</v>
      </c>
      <c r="I37" s="225">
        <v>0.33500000000000002</v>
      </c>
      <c r="J37" s="225">
        <v>0</v>
      </c>
      <c r="K37" s="225">
        <v>6.5799999999999997E-2</v>
      </c>
      <c r="L37" s="222" t="s">
        <v>3006</v>
      </c>
      <c r="M37" s="223" t="s">
        <v>3112</v>
      </c>
      <c r="N37" s="210"/>
    </row>
    <row r="38" spans="1:14" s="190" customFormat="1" ht="15.75" hidden="1" customHeight="1" outlineLevel="1">
      <c r="A38" s="121" t="s">
        <v>3113</v>
      </c>
      <c r="B38" s="217" t="s">
        <v>3114</v>
      </c>
      <c r="C38" s="236" t="s">
        <v>3115</v>
      </c>
      <c r="D38" s="219" t="s">
        <v>3005</v>
      </c>
      <c r="E38" s="219" t="s">
        <v>186</v>
      </c>
      <c r="F38" s="224">
        <v>123</v>
      </c>
      <c r="G38" s="225">
        <v>0.77400000000000002</v>
      </c>
      <c r="H38" s="225">
        <v>0.439</v>
      </c>
      <c r="I38" s="225">
        <v>0.33500000000000002</v>
      </c>
      <c r="J38" s="225">
        <v>0</v>
      </c>
      <c r="K38" s="225">
        <v>6.5799999999999997E-2</v>
      </c>
      <c r="L38" s="222" t="s">
        <v>3006</v>
      </c>
      <c r="M38" s="223" t="s">
        <v>3116</v>
      </c>
      <c r="N38" s="210"/>
    </row>
    <row r="39" spans="1:14" s="190" customFormat="1" ht="15.75" customHeight="1" collapsed="1">
      <c r="A39" s="130" t="s">
        <v>3117</v>
      </c>
      <c r="B39" s="746"/>
      <c r="C39" s="211" t="s">
        <v>3118</v>
      </c>
      <c r="D39" s="237"/>
      <c r="E39" s="227" t="s">
        <v>2989</v>
      </c>
      <c r="F39" s="228"/>
      <c r="G39" s="228"/>
      <c r="H39" s="228"/>
      <c r="I39" s="228"/>
      <c r="J39" s="228"/>
      <c r="K39" s="228"/>
      <c r="L39" s="238"/>
      <c r="M39" s="211" t="s">
        <v>3119</v>
      </c>
      <c r="N39" s="210"/>
    </row>
    <row r="40" spans="1:14" s="235" customFormat="1" ht="17.100000000000001" customHeight="1">
      <c r="A40" s="226" t="s">
        <v>3120</v>
      </c>
      <c r="B40" s="217" t="s">
        <v>3121</v>
      </c>
      <c r="C40" s="230" t="s">
        <v>3122</v>
      </c>
      <c r="D40" s="231" t="s">
        <v>3123</v>
      </c>
      <c r="E40" s="231" t="s">
        <v>186</v>
      </c>
      <c r="F40" s="224">
        <v>520</v>
      </c>
      <c r="G40" s="225">
        <v>2.66</v>
      </c>
      <c r="H40" s="225">
        <v>0.56999999999999995</v>
      </c>
      <c r="I40" s="225">
        <v>2.09</v>
      </c>
      <c r="J40" s="225">
        <v>0</v>
      </c>
      <c r="K40" s="225">
        <v>0.127</v>
      </c>
      <c r="L40" s="232" t="s">
        <v>3124</v>
      </c>
      <c r="M40" s="233" t="s">
        <v>3125</v>
      </c>
      <c r="N40" s="234"/>
    </row>
    <row r="41" spans="1:14" s="235" customFormat="1" ht="17.100000000000001" customHeight="1">
      <c r="A41" s="226" t="s">
        <v>3126</v>
      </c>
      <c r="B41" s="217" t="s">
        <v>3127</v>
      </c>
      <c r="C41" s="230" t="s">
        <v>3128</v>
      </c>
      <c r="D41" s="231" t="s">
        <v>3123</v>
      </c>
      <c r="E41" s="231" t="s">
        <v>186</v>
      </c>
      <c r="F41" s="224">
        <v>87.4</v>
      </c>
      <c r="G41" s="225">
        <v>1.2</v>
      </c>
      <c r="H41" s="225">
        <v>1.1599999999999999</v>
      </c>
      <c r="I41" s="225">
        <v>4.1000000000000002E-2</v>
      </c>
      <c r="J41" s="225">
        <v>0</v>
      </c>
      <c r="K41" s="225">
        <v>1.7500000000000002E-2</v>
      </c>
      <c r="L41" s="232" t="s">
        <v>3124</v>
      </c>
      <c r="M41" s="233" t="s">
        <v>3129</v>
      </c>
      <c r="N41" s="234"/>
    </row>
    <row r="42" spans="1:14" s="190" customFormat="1" ht="17.100000000000001" customHeight="1">
      <c r="A42" s="121" t="s">
        <v>3130</v>
      </c>
      <c r="B42" s="217" t="s">
        <v>3131</v>
      </c>
      <c r="C42" s="218" t="s">
        <v>3132</v>
      </c>
      <c r="D42" s="219" t="s">
        <v>3133</v>
      </c>
      <c r="E42" s="219" t="s">
        <v>186</v>
      </c>
      <c r="F42" s="220">
        <v>437</v>
      </c>
      <c r="G42" s="221">
        <v>1.32</v>
      </c>
      <c r="H42" s="221">
        <v>1.12E-2</v>
      </c>
      <c r="I42" s="221">
        <v>1.31</v>
      </c>
      <c r="J42" s="221">
        <v>0</v>
      </c>
      <c r="K42" s="221">
        <v>0.34300000000000003</v>
      </c>
      <c r="L42" s="222" t="s">
        <v>3134</v>
      </c>
      <c r="M42" s="223" t="s">
        <v>3135</v>
      </c>
      <c r="N42" s="210"/>
    </row>
    <row r="43" spans="1:14" s="190" customFormat="1" ht="17.100000000000001" customHeight="1">
      <c r="A43" s="121" t="s">
        <v>3136</v>
      </c>
      <c r="B43" s="217" t="s">
        <v>3137</v>
      </c>
      <c r="C43" s="218" t="s">
        <v>3138</v>
      </c>
      <c r="D43" s="219" t="s">
        <v>3133</v>
      </c>
      <c r="E43" s="219" t="s">
        <v>186</v>
      </c>
      <c r="F43" s="224">
        <v>279</v>
      </c>
      <c r="G43" s="225">
        <v>1.07</v>
      </c>
      <c r="H43" s="225">
        <v>3.15E-3</v>
      </c>
      <c r="I43" s="225">
        <v>1.06</v>
      </c>
      <c r="J43" s="225">
        <v>0</v>
      </c>
      <c r="K43" s="225">
        <v>0.23400000000000001</v>
      </c>
      <c r="L43" s="222" t="s">
        <v>3134</v>
      </c>
      <c r="M43" s="223" t="s">
        <v>3139</v>
      </c>
      <c r="N43" s="210"/>
    </row>
    <row r="44" spans="1:14" s="190" customFormat="1" ht="17.100000000000001" customHeight="1">
      <c r="A44" s="121" t="s">
        <v>3140</v>
      </c>
      <c r="B44" s="217" t="s">
        <v>3141</v>
      </c>
      <c r="C44" s="218" t="s">
        <v>3142</v>
      </c>
      <c r="D44" s="219" t="s">
        <v>3133</v>
      </c>
      <c r="E44" s="219" t="s">
        <v>186</v>
      </c>
      <c r="F44" s="224">
        <v>363</v>
      </c>
      <c r="G44" s="225">
        <v>1.2</v>
      </c>
      <c r="H44" s="225">
        <v>5.8999999999999999E-3</v>
      </c>
      <c r="I44" s="225">
        <v>1.2</v>
      </c>
      <c r="J44" s="225">
        <v>0</v>
      </c>
      <c r="K44" s="225">
        <v>0.28899999999999998</v>
      </c>
      <c r="L44" s="222" t="s">
        <v>3134</v>
      </c>
      <c r="M44" s="223" t="s">
        <v>3143</v>
      </c>
      <c r="N44" s="210"/>
    </row>
    <row r="45" spans="1:14" s="190" customFormat="1" ht="17.100000000000001" customHeight="1">
      <c r="A45" s="121" t="s">
        <v>3144</v>
      </c>
      <c r="B45" s="217" t="s">
        <v>3145</v>
      </c>
      <c r="C45" s="218" t="s">
        <v>3146</v>
      </c>
      <c r="D45" s="219" t="s">
        <v>3133</v>
      </c>
      <c r="E45" s="219" t="s">
        <v>186</v>
      </c>
      <c r="F45" s="220">
        <v>885</v>
      </c>
      <c r="G45" s="221">
        <v>2.0099999999999998</v>
      </c>
      <c r="H45" s="221">
        <v>2.1899999999999999E-2</v>
      </c>
      <c r="I45" s="221">
        <v>1.99</v>
      </c>
      <c r="J45" s="221">
        <v>0</v>
      </c>
      <c r="K45" s="221">
        <v>0.64300000000000002</v>
      </c>
      <c r="L45" s="222" t="s">
        <v>3134</v>
      </c>
      <c r="M45" s="223" t="s">
        <v>3147</v>
      </c>
      <c r="N45" s="210"/>
    </row>
    <row r="46" spans="1:14" s="190" customFormat="1" ht="17.100000000000001" customHeight="1">
      <c r="A46" s="121" t="s">
        <v>3148</v>
      </c>
      <c r="B46" s="217" t="s">
        <v>3149</v>
      </c>
      <c r="C46" s="218" t="s">
        <v>3150</v>
      </c>
      <c r="D46" s="219" t="s">
        <v>3133</v>
      </c>
      <c r="E46" s="219" t="s">
        <v>186</v>
      </c>
      <c r="F46" s="220">
        <v>1070</v>
      </c>
      <c r="G46" s="221">
        <v>1.51</v>
      </c>
      <c r="H46" s="221">
        <v>1.43E-2</v>
      </c>
      <c r="I46" s="221">
        <v>1.49</v>
      </c>
      <c r="J46" s="221">
        <v>0</v>
      </c>
      <c r="K46" s="221">
        <v>0.58799999999999997</v>
      </c>
      <c r="L46" s="222" t="s">
        <v>3134</v>
      </c>
      <c r="M46" s="223" t="s">
        <v>3151</v>
      </c>
      <c r="N46" s="210"/>
    </row>
    <row r="47" spans="1:14" s="190" customFormat="1" ht="17.100000000000001" customHeight="1">
      <c r="A47" s="121" t="s">
        <v>3152</v>
      </c>
      <c r="B47" s="217" t="s">
        <v>3153</v>
      </c>
      <c r="C47" s="218" t="s">
        <v>3154</v>
      </c>
      <c r="D47" s="219" t="s">
        <v>3133</v>
      </c>
      <c r="E47" s="219" t="s">
        <v>186</v>
      </c>
      <c r="F47" s="224">
        <v>239</v>
      </c>
      <c r="G47" s="225">
        <v>1.41</v>
      </c>
      <c r="H47" s="225">
        <v>1.35</v>
      </c>
      <c r="I47" s="225">
        <v>6.8400000000000002E-2</v>
      </c>
      <c r="J47" s="225">
        <v>0</v>
      </c>
      <c r="K47" s="225">
        <v>3.3399999999999999E-2</v>
      </c>
      <c r="L47" s="222" t="s">
        <v>3134</v>
      </c>
      <c r="M47" s="223" t="s">
        <v>3155</v>
      </c>
      <c r="N47" s="210"/>
    </row>
    <row r="48" spans="1:14" s="190" customFormat="1" ht="17.100000000000001" hidden="1" customHeight="1" outlineLevel="1">
      <c r="A48" s="121" t="s">
        <v>3156</v>
      </c>
      <c r="B48" s="217" t="s">
        <v>3157</v>
      </c>
      <c r="C48" s="218" t="s">
        <v>3158</v>
      </c>
      <c r="D48" s="219" t="s">
        <v>3133</v>
      </c>
      <c r="E48" s="219" t="s">
        <v>186</v>
      </c>
      <c r="F48" s="224">
        <v>239</v>
      </c>
      <c r="G48" s="225">
        <v>1.41</v>
      </c>
      <c r="H48" s="225">
        <v>1.35</v>
      </c>
      <c r="I48" s="225">
        <v>6.8400000000000002E-2</v>
      </c>
      <c r="J48" s="225">
        <v>0</v>
      </c>
      <c r="K48" s="225">
        <v>3.3399999999999999E-2</v>
      </c>
      <c r="L48" s="222" t="s">
        <v>3134</v>
      </c>
      <c r="M48" s="223" t="s">
        <v>3159</v>
      </c>
      <c r="N48" s="210"/>
    </row>
    <row r="49" spans="1:14" s="190" customFormat="1" ht="17.100000000000001" customHeight="1" collapsed="1">
      <c r="A49" s="121" t="s">
        <v>3160</v>
      </c>
      <c r="B49" s="217" t="s">
        <v>3161</v>
      </c>
      <c r="C49" s="218" t="s">
        <v>3162</v>
      </c>
      <c r="D49" s="219" t="s">
        <v>3133</v>
      </c>
      <c r="E49" s="219" t="s">
        <v>186</v>
      </c>
      <c r="F49" s="224">
        <v>164</v>
      </c>
      <c r="G49" s="225">
        <v>1.38</v>
      </c>
      <c r="H49" s="225">
        <v>1.33</v>
      </c>
      <c r="I49" s="225">
        <v>5.5800000000000002E-2</v>
      </c>
      <c r="J49" s="225">
        <v>0</v>
      </c>
      <c r="K49" s="225">
        <v>2.12E-2</v>
      </c>
      <c r="L49" s="222" t="s">
        <v>3134</v>
      </c>
      <c r="M49" s="223" t="s">
        <v>3163</v>
      </c>
      <c r="N49" s="210"/>
    </row>
    <row r="50" spans="1:14" s="190" customFormat="1" ht="17.100000000000001" hidden="1" customHeight="1" outlineLevel="1">
      <c r="A50" s="121" t="s">
        <v>3164</v>
      </c>
      <c r="B50" s="217" t="s">
        <v>3165</v>
      </c>
      <c r="C50" s="218" t="s">
        <v>3166</v>
      </c>
      <c r="D50" s="219" t="s">
        <v>3133</v>
      </c>
      <c r="E50" s="219" t="s">
        <v>186</v>
      </c>
      <c r="F50" s="224">
        <v>164</v>
      </c>
      <c r="G50" s="225">
        <v>1.38</v>
      </c>
      <c r="H50" s="225">
        <v>1.33</v>
      </c>
      <c r="I50" s="225">
        <v>5.5800000000000002E-2</v>
      </c>
      <c r="J50" s="225">
        <v>0</v>
      </c>
      <c r="K50" s="225">
        <v>2.12E-2</v>
      </c>
      <c r="L50" s="222" t="s">
        <v>3134</v>
      </c>
      <c r="M50" s="223" t="s">
        <v>3167</v>
      </c>
      <c r="N50" s="210"/>
    </row>
    <row r="51" spans="1:14" s="190" customFormat="1" ht="17.100000000000001" customHeight="1" collapsed="1">
      <c r="A51" s="121" t="s">
        <v>3168</v>
      </c>
      <c r="B51" s="217" t="s">
        <v>3169</v>
      </c>
      <c r="C51" s="218" t="s">
        <v>3170</v>
      </c>
      <c r="D51" s="219" t="s">
        <v>3133</v>
      </c>
      <c r="E51" s="219" t="s">
        <v>186</v>
      </c>
      <c r="F51" s="224">
        <v>142</v>
      </c>
      <c r="G51" s="225">
        <v>1.44</v>
      </c>
      <c r="H51" s="225">
        <v>1.28</v>
      </c>
      <c r="I51" s="225">
        <v>0.16600000000000001</v>
      </c>
      <c r="J51" s="225">
        <v>0</v>
      </c>
      <c r="K51" s="225">
        <v>3.7699999999999997E-2</v>
      </c>
      <c r="L51" s="222" t="s">
        <v>3134</v>
      </c>
      <c r="M51" s="223" t="s">
        <v>3171</v>
      </c>
      <c r="N51" s="210"/>
    </row>
    <row r="52" spans="1:14" s="190" customFormat="1" ht="17.100000000000001" hidden="1" customHeight="1" outlineLevel="1">
      <c r="A52" s="121" t="s">
        <v>3172</v>
      </c>
      <c r="B52" s="217" t="s">
        <v>3173</v>
      </c>
      <c r="C52" s="218" t="s">
        <v>3174</v>
      </c>
      <c r="D52" s="219" t="s">
        <v>3133</v>
      </c>
      <c r="E52" s="219" t="s">
        <v>186</v>
      </c>
      <c r="F52" s="224">
        <v>142</v>
      </c>
      <c r="G52" s="225">
        <v>1.44</v>
      </c>
      <c r="H52" s="225">
        <v>1.28</v>
      </c>
      <c r="I52" s="225">
        <v>0.16600000000000001</v>
      </c>
      <c r="J52" s="225">
        <v>0</v>
      </c>
      <c r="K52" s="225">
        <v>3.7699999999999997E-2</v>
      </c>
      <c r="L52" s="222" t="s">
        <v>3134</v>
      </c>
      <c r="M52" s="223" t="s">
        <v>3175</v>
      </c>
      <c r="N52" s="210"/>
    </row>
    <row r="53" spans="1:14" s="190" customFormat="1" ht="17.100000000000001" customHeight="1" collapsed="1">
      <c r="A53" s="121" t="s">
        <v>3176</v>
      </c>
      <c r="B53" s="217" t="s">
        <v>3177</v>
      </c>
      <c r="C53" s="218" t="s">
        <v>3178</v>
      </c>
      <c r="D53" s="219" t="s">
        <v>3133</v>
      </c>
      <c r="E53" s="219" t="s">
        <v>186</v>
      </c>
      <c r="F53" s="224">
        <v>158</v>
      </c>
      <c r="G53" s="225">
        <v>0.32900000000000001</v>
      </c>
      <c r="H53" s="225">
        <v>2.9399999999999999E-2</v>
      </c>
      <c r="I53" s="225">
        <v>0.29899999999999999</v>
      </c>
      <c r="J53" s="225">
        <v>0</v>
      </c>
      <c r="K53" s="225">
        <v>0.127</v>
      </c>
      <c r="L53" s="222" t="s">
        <v>3134</v>
      </c>
      <c r="M53" s="223" t="s">
        <v>3179</v>
      </c>
      <c r="N53" s="210"/>
    </row>
    <row r="54" spans="1:14" s="190" customFormat="1" ht="17.100000000000001" customHeight="1">
      <c r="A54" s="130" t="s">
        <v>3180</v>
      </c>
      <c r="B54" s="746"/>
      <c r="C54" s="211" t="s">
        <v>3181</v>
      </c>
      <c r="D54" s="237"/>
      <c r="E54" s="227" t="s">
        <v>2989</v>
      </c>
      <c r="F54" s="228"/>
      <c r="G54" s="228"/>
      <c r="H54" s="228"/>
      <c r="I54" s="228"/>
      <c r="J54" s="228"/>
      <c r="K54" s="228"/>
      <c r="L54" s="238"/>
      <c r="M54" s="211" t="s">
        <v>3182</v>
      </c>
      <c r="N54" s="210"/>
    </row>
    <row r="55" spans="1:14" s="190" customFormat="1" ht="25.5">
      <c r="A55" s="121" t="s">
        <v>3183</v>
      </c>
      <c r="B55" s="217" t="s">
        <v>3184</v>
      </c>
      <c r="C55" s="239" t="s">
        <v>3185</v>
      </c>
      <c r="D55" s="219" t="s">
        <v>3186</v>
      </c>
      <c r="E55" s="219" t="s">
        <v>186</v>
      </c>
      <c r="F55" s="224">
        <v>215</v>
      </c>
      <c r="G55" s="225">
        <v>1.63</v>
      </c>
      <c r="H55" s="225">
        <v>0.84199999999999997</v>
      </c>
      <c r="I55" s="225">
        <v>0.78400000000000003</v>
      </c>
      <c r="J55" s="225">
        <v>0.63</v>
      </c>
      <c r="K55" s="225">
        <v>5.8000000000000003E-2</v>
      </c>
      <c r="L55" s="222" t="s">
        <v>3134</v>
      </c>
      <c r="M55" s="233" t="s">
        <v>3187</v>
      </c>
    </row>
    <row r="56" spans="1:14" s="235" customFormat="1" ht="29.1" customHeight="1">
      <c r="A56" s="226" t="s">
        <v>3188</v>
      </c>
      <c r="B56" s="217" t="s">
        <v>3189</v>
      </c>
      <c r="C56" s="239" t="s">
        <v>3190</v>
      </c>
      <c r="D56" s="231" t="s">
        <v>3123</v>
      </c>
      <c r="E56" s="231" t="s">
        <v>186</v>
      </c>
      <c r="F56" s="224">
        <v>54.6</v>
      </c>
      <c r="G56" s="225">
        <v>1.0900000000000001</v>
      </c>
      <c r="H56" s="225">
        <v>1.06</v>
      </c>
      <c r="I56" s="225">
        <v>2.4799999999999999E-2</v>
      </c>
      <c r="J56" s="225">
        <v>0.63</v>
      </c>
      <c r="K56" s="225">
        <v>1.7299999999999999E-2</v>
      </c>
      <c r="L56" s="232" t="s">
        <v>3124</v>
      </c>
      <c r="M56" s="233" t="s">
        <v>3191</v>
      </c>
    </row>
    <row r="57" spans="1:14" s="235" customFormat="1" ht="25.5">
      <c r="A57" s="226" t="s">
        <v>3192</v>
      </c>
      <c r="B57" s="217" t="s">
        <v>3193</v>
      </c>
      <c r="C57" s="239" t="s">
        <v>3194</v>
      </c>
      <c r="D57" s="231" t="s">
        <v>3123</v>
      </c>
      <c r="E57" s="231" t="s">
        <v>186</v>
      </c>
      <c r="F57" s="224">
        <v>143</v>
      </c>
      <c r="G57" s="225">
        <v>1.39</v>
      </c>
      <c r="H57" s="225">
        <v>0.90400000000000003</v>
      </c>
      <c r="I57" s="225">
        <v>0.48599999999999999</v>
      </c>
      <c r="J57" s="225">
        <v>0.77300000000000002</v>
      </c>
      <c r="K57" s="225">
        <v>0.04</v>
      </c>
      <c r="L57" s="232" t="s">
        <v>3124</v>
      </c>
      <c r="M57" s="233" t="s">
        <v>3195</v>
      </c>
    </row>
    <row r="58" spans="1:14" s="235" customFormat="1" ht="29.45" customHeight="1">
      <c r="A58" s="226" t="s">
        <v>3196</v>
      </c>
      <c r="B58" s="217" t="s">
        <v>3197</v>
      </c>
      <c r="C58" s="239" t="s">
        <v>3198</v>
      </c>
      <c r="D58" s="231" t="s">
        <v>3123</v>
      </c>
      <c r="E58" s="231" t="s">
        <v>186</v>
      </c>
      <c r="F58" s="224">
        <v>44.3</v>
      </c>
      <c r="G58" s="225">
        <v>1.06</v>
      </c>
      <c r="H58" s="225">
        <v>1.04</v>
      </c>
      <c r="I58" s="225">
        <v>2.01E-2</v>
      </c>
      <c r="J58" s="225">
        <v>0.77300000000000002</v>
      </c>
      <c r="K58" s="225">
        <v>1.5100000000000001E-2</v>
      </c>
      <c r="L58" s="232" t="s">
        <v>3124</v>
      </c>
      <c r="M58" s="233" t="s">
        <v>3199</v>
      </c>
    </row>
    <row r="59" spans="1:14" s="190" customFormat="1" ht="25.5">
      <c r="A59" s="121" t="s">
        <v>3200</v>
      </c>
      <c r="B59" s="217" t="s">
        <v>3201</v>
      </c>
      <c r="C59" s="239" t="s">
        <v>3202</v>
      </c>
      <c r="D59" s="219" t="s">
        <v>3133</v>
      </c>
      <c r="E59" s="219" t="s">
        <v>186</v>
      </c>
      <c r="F59" s="224">
        <v>188</v>
      </c>
      <c r="G59" s="225">
        <v>1.55</v>
      </c>
      <c r="H59" s="225">
        <v>0.86699999999999999</v>
      </c>
      <c r="I59" s="225">
        <v>0.67800000000000005</v>
      </c>
      <c r="J59" s="225">
        <v>0.68799999999999994</v>
      </c>
      <c r="K59" s="225">
        <v>5.0500000000000003E-2</v>
      </c>
      <c r="L59" s="222" t="s">
        <v>3134</v>
      </c>
      <c r="M59" s="233" t="s">
        <v>3203</v>
      </c>
    </row>
    <row r="60" spans="1:14" s="235" customFormat="1" ht="29.1" customHeight="1">
      <c r="A60" s="226" t="s">
        <v>3204</v>
      </c>
      <c r="B60" s="217" t="s">
        <v>3205</v>
      </c>
      <c r="C60" s="239" t="s">
        <v>3206</v>
      </c>
      <c r="D60" s="231" t="s">
        <v>3123</v>
      </c>
      <c r="E60" s="231" t="s">
        <v>186</v>
      </c>
      <c r="F60" s="224">
        <v>52.4</v>
      </c>
      <c r="G60" s="225">
        <v>1.0900000000000001</v>
      </c>
      <c r="H60" s="225">
        <v>1.05</v>
      </c>
      <c r="I60" s="225">
        <v>3.8100000000000002E-2</v>
      </c>
      <c r="J60" s="225">
        <v>0.68799999999999994</v>
      </c>
      <c r="K60" s="225">
        <v>1.6199999999999999E-2</v>
      </c>
      <c r="L60" s="232" t="s">
        <v>3124</v>
      </c>
      <c r="M60" s="233" t="s">
        <v>3207</v>
      </c>
    </row>
    <row r="61" spans="1:14" s="235" customFormat="1" ht="25.5">
      <c r="A61" s="226" t="s">
        <v>3208</v>
      </c>
      <c r="B61" s="217" t="s">
        <v>3209</v>
      </c>
      <c r="C61" s="239" t="s">
        <v>3210</v>
      </c>
      <c r="D61" s="231" t="s">
        <v>3123</v>
      </c>
      <c r="E61" s="231" t="s">
        <v>186</v>
      </c>
      <c r="F61" s="224">
        <v>125</v>
      </c>
      <c r="G61" s="225">
        <v>1.34</v>
      </c>
      <c r="H61" s="225">
        <v>0.92</v>
      </c>
      <c r="I61" s="225">
        <v>0.42099999999999999</v>
      </c>
      <c r="J61" s="225">
        <v>0.81100000000000005</v>
      </c>
      <c r="K61" s="225">
        <v>3.5000000000000003E-2</v>
      </c>
      <c r="L61" s="232" t="s">
        <v>3124</v>
      </c>
      <c r="M61" s="233" t="s">
        <v>3211</v>
      </c>
    </row>
    <row r="62" spans="1:14" s="235" customFormat="1" ht="24" customHeight="1">
      <c r="A62" s="226" t="s">
        <v>3212</v>
      </c>
      <c r="B62" s="217" t="s">
        <v>3213</v>
      </c>
      <c r="C62" s="239" t="s">
        <v>3214</v>
      </c>
      <c r="D62" s="231" t="s">
        <v>3123</v>
      </c>
      <c r="E62" s="231" t="s">
        <v>186</v>
      </c>
      <c r="F62" s="224">
        <v>43.5</v>
      </c>
      <c r="G62" s="225">
        <v>1.07</v>
      </c>
      <c r="H62" s="225">
        <v>1.03</v>
      </c>
      <c r="I62" s="225">
        <v>3.4000000000000002E-2</v>
      </c>
      <c r="J62" s="225">
        <v>0.81100000000000005</v>
      </c>
      <c r="K62" s="225">
        <v>1.43E-2</v>
      </c>
      <c r="L62" s="232" t="s">
        <v>3124</v>
      </c>
      <c r="M62" s="233" t="s">
        <v>3215</v>
      </c>
    </row>
    <row r="63" spans="1:14" s="190" customFormat="1" ht="25.5">
      <c r="A63" s="121" t="s">
        <v>3216</v>
      </c>
      <c r="B63" s="217" t="s">
        <v>3217</v>
      </c>
      <c r="C63" s="239" t="s">
        <v>3218</v>
      </c>
      <c r="D63" s="219" t="s">
        <v>3133</v>
      </c>
      <c r="E63" s="219" t="s">
        <v>186</v>
      </c>
      <c r="F63" s="224">
        <v>182</v>
      </c>
      <c r="G63" s="225">
        <v>1.58</v>
      </c>
      <c r="H63" s="225">
        <v>0.92200000000000004</v>
      </c>
      <c r="I63" s="225">
        <v>0.66200000000000003</v>
      </c>
      <c r="J63" s="225">
        <v>0.74399999999999999</v>
      </c>
      <c r="K63" s="225">
        <v>4.7500000000000001E-2</v>
      </c>
      <c r="L63" s="222" t="s">
        <v>3134</v>
      </c>
      <c r="M63" s="233" t="s">
        <v>3219</v>
      </c>
    </row>
    <row r="64" spans="1:14" s="235" customFormat="1" ht="29.1" customHeight="1">
      <c r="A64" s="226" t="s">
        <v>3220</v>
      </c>
      <c r="B64" s="217" t="s">
        <v>3221</v>
      </c>
      <c r="C64" s="239" t="s">
        <v>3222</v>
      </c>
      <c r="D64" s="231" t="s">
        <v>3123</v>
      </c>
      <c r="E64" s="231" t="s">
        <v>186</v>
      </c>
      <c r="F64" s="224">
        <v>46.5</v>
      </c>
      <c r="G64" s="225">
        <v>1.1299999999999999</v>
      </c>
      <c r="H64" s="225">
        <v>1.1100000000000001</v>
      </c>
      <c r="I64" s="225">
        <v>2.1700000000000001E-2</v>
      </c>
      <c r="J64" s="225">
        <v>0.74399999999999999</v>
      </c>
      <c r="K64" s="225">
        <v>1.3100000000000001E-2</v>
      </c>
      <c r="L64" s="232" t="s">
        <v>3124</v>
      </c>
      <c r="M64" s="233" t="s">
        <v>3223</v>
      </c>
    </row>
    <row r="65" spans="1:13" s="235" customFormat="1" ht="25.5">
      <c r="A65" s="226" t="s">
        <v>3224</v>
      </c>
      <c r="B65" s="217" t="s">
        <v>3225</v>
      </c>
      <c r="C65" s="239" t="s">
        <v>3226</v>
      </c>
      <c r="D65" s="231" t="s">
        <v>3123</v>
      </c>
      <c r="E65" s="231" t="s">
        <v>186</v>
      </c>
      <c r="F65" s="224">
        <v>119</v>
      </c>
      <c r="G65" s="225">
        <v>1.32</v>
      </c>
      <c r="H65" s="225">
        <v>0.92</v>
      </c>
      <c r="I65" s="225">
        <v>0.40400000000000003</v>
      </c>
      <c r="J65" s="225">
        <v>0.81100000000000005</v>
      </c>
      <c r="K65" s="225">
        <v>3.2000000000000001E-2</v>
      </c>
      <c r="L65" s="232" t="s">
        <v>3124</v>
      </c>
      <c r="M65" s="233" t="s">
        <v>3227</v>
      </c>
    </row>
    <row r="66" spans="1:13" s="235" customFormat="1" ht="29.45" customHeight="1">
      <c r="A66" s="226" t="s">
        <v>3228</v>
      </c>
      <c r="B66" s="217" t="s">
        <v>3229</v>
      </c>
      <c r="C66" s="239" t="s">
        <v>3230</v>
      </c>
      <c r="D66" s="231" t="s">
        <v>3123</v>
      </c>
      <c r="E66" s="231" t="s">
        <v>186</v>
      </c>
      <c r="F66" s="224">
        <v>37</v>
      </c>
      <c r="G66" s="225">
        <v>1.05</v>
      </c>
      <c r="H66" s="225">
        <v>1.03</v>
      </c>
      <c r="I66" s="225">
        <v>1.7600000000000001E-2</v>
      </c>
      <c r="J66" s="225">
        <v>0.81100000000000005</v>
      </c>
      <c r="K66" s="225">
        <v>1.12E-2</v>
      </c>
      <c r="L66" s="232" t="s">
        <v>3124</v>
      </c>
      <c r="M66" s="233" t="s">
        <v>3231</v>
      </c>
    </row>
    <row r="67" spans="1:13" s="190" customFormat="1" ht="17.100000000000001" customHeight="1">
      <c r="A67" s="121" t="s">
        <v>3232</v>
      </c>
      <c r="B67" s="217" t="s">
        <v>3233</v>
      </c>
      <c r="C67" s="218" t="s">
        <v>2729</v>
      </c>
      <c r="D67" s="219" t="s">
        <v>3133</v>
      </c>
      <c r="E67" s="219" t="s">
        <v>186</v>
      </c>
      <c r="F67" s="220">
        <v>121</v>
      </c>
      <c r="G67" s="221">
        <v>1.58</v>
      </c>
      <c r="H67" s="221">
        <v>1.33</v>
      </c>
      <c r="I67" s="221">
        <v>0.24399999999999999</v>
      </c>
      <c r="J67" s="221">
        <v>1.28</v>
      </c>
      <c r="K67" s="221">
        <v>4.19E-2</v>
      </c>
      <c r="L67" s="222" t="s">
        <v>3134</v>
      </c>
      <c r="M67" s="240" t="s">
        <v>2733</v>
      </c>
    </row>
    <row r="68" spans="1:13" s="190" customFormat="1" ht="17.100000000000001" customHeight="1">
      <c r="A68" s="121" t="s">
        <v>3234</v>
      </c>
      <c r="B68" s="217" t="s">
        <v>3235</v>
      </c>
      <c r="C68" s="218" t="s">
        <v>2737</v>
      </c>
      <c r="D68" s="219" t="s">
        <v>3133</v>
      </c>
      <c r="E68" s="219" t="s">
        <v>186</v>
      </c>
      <c r="F68" s="220">
        <v>110</v>
      </c>
      <c r="G68" s="221">
        <v>1.81</v>
      </c>
      <c r="H68" s="221">
        <v>1.61</v>
      </c>
      <c r="I68" s="221">
        <v>0.2</v>
      </c>
      <c r="J68" s="221">
        <v>1.57</v>
      </c>
      <c r="K68" s="221">
        <v>3.7699999999999997E-2</v>
      </c>
      <c r="L68" s="222" t="s">
        <v>3134</v>
      </c>
      <c r="M68" s="240" t="s">
        <v>3236</v>
      </c>
    </row>
    <row r="69" spans="1:13" s="190" customFormat="1" ht="17.100000000000001" customHeight="1">
      <c r="A69" s="121" t="s">
        <v>3237</v>
      </c>
      <c r="B69" s="217" t="s">
        <v>3238</v>
      </c>
      <c r="C69" s="218" t="s">
        <v>938</v>
      </c>
      <c r="D69" s="219" t="s">
        <v>3133</v>
      </c>
      <c r="E69" s="219" t="s">
        <v>186</v>
      </c>
      <c r="F69" s="220">
        <v>49.9</v>
      </c>
      <c r="G69" s="221">
        <v>1.22</v>
      </c>
      <c r="H69" s="221">
        <v>1.1499999999999999</v>
      </c>
      <c r="I69" s="221">
        <v>7.8899999999999998E-2</v>
      </c>
      <c r="J69" s="221">
        <v>1.1299999999999999</v>
      </c>
      <c r="K69" s="221">
        <v>1.52E-2</v>
      </c>
      <c r="L69" s="222" t="s">
        <v>3134</v>
      </c>
      <c r="M69" s="240" t="s">
        <v>2740</v>
      </c>
    </row>
    <row r="70" spans="1:13" s="190" customFormat="1" ht="17.100000000000001" customHeight="1">
      <c r="A70" s="121" t="s">
        <v>3239</v>
      </c>
      <c r="B70" s="217" t="s">
        <v>3240</v>
      </c>
      <c r="C70" s="218" t="s">
        <v>2743</v>
      </c>
      <c r="D70" s="219" t="s">
        <v>3133</v>
      </c>
      <c r="E70" s="219" t="s">
        <v>186</v>
      </c>
      <c r="F70" s="220">
        <v>93.6</v>
      </c>
      <c r="G70" s="221">
        <v>1.72</v>
      </c>
      <c r="H70" s="221">
        <v>1.54</v>
      </c>
      <c r="I70" s="221">
        <v>0.17699999999999999</v>
      </c>
      <c r="J70" s="221">
        <v>1.51</v>
      </c>
      <c r="K70" s="221">
        <v>3.4500000000000003E-2</v>
      </c>
      <c r="L70" s="222" t="s">
        <v>3134</v>
      </c>
      <c r="M70" s="240" t="s">
        <v>3241</v>
      </c>
    </row>
    <row r="71" spans="1:13" s="190" customFormat="1" ht="17.100000000000001" customHeight="1">
      <c r="A71" s="121" t="s">
        <v>3242</v>
      </c>
      <c r="B71" s="217" t="s">
        <v>3243</v>
      </c>
      <c r="C71" s="218" t="s">
        <v>3244</v>
      </c>
      <c r="D71" s="219" t="s">
        <v>3133</v>
      </c>
      <c r="E71" s="219" t="s">
        <v>186</v>
      </c>
      <c r="F71" s="224">
        <v>131</v>
      </c>
      <c r="G71" s="225">
        <v>0.47199999999999998</v>
      </c>
      <c r="H71" s="225">
        <v>1.81E-3</v>
      </c>
      <c r="I71" s="225">
        <v>0.47</v>
      </c>
      <c r="J71" s="225">
        <v>0</v>
      </c>
      <c r="K71" s="225">
        <v>0.107</v>
      </c>
      <c r="L71" s="222" t="s">
        <v>3134</v>
      </c>
      <c r="M71" s="223" t="s">
        <v>3245</v>
      </c>
    </row>
    <row r="72" spans="1:13" s="235" customFormat="1" ht="17.100000000000001" customHeight="1">
      <c r="A72" s="226" t="s">
        <v>3246</v>
      </c>
      <c r="B72" s="217" t="s">
        <v>3247</v>
      </c>
      <c r="C72" s="230" t="s">
        <v>3248</v>
      </c>
      <c r="D72" s="231" t="s">
        <v>3123</v>
      </c>
      <c r="E72" s="231" t="s">
        <v>186</v>
      </c>
      <c r="F72" s="224">
        <v>38.9</v>
      </c>
      <c r="G72" s="225">
        <v>1.2</v>
      </c>
      <c r="H72" s="225">
        <v>1.1399999999999999</v>
      </c>
      <c r="I72" s="225">
        <v>5.8099999999999999E-2</v>
      </c>
      <c r="J72" s="225">
        <v>1.1299999999999999</v>
      </c>
      <c r="K72" s="225">
        <v>1.35E-2</v>
      </c>
      <c r="L72" s="232" t="s">
        <v>3124</v>
      </c>
      <c r="M72" s="233" t="s">
        <v>3249</v>
      </c>
    </row>
    <row r="73" spans="1:13" s="235" customFormat="1" ht="17.100000000000001" customHeight="1">
      <c r="A73" s="226" t="s">
        <v>3250</v>
      </c>
      <c r="B73" s="217" t="s">
        <v>3251</v>
      </c>
      <c r="C73" s="230" t="s">
        <v>3252</v>
      </c>
      <c r="D73" s="231" t="s">
        <v>3123</v>
      </c>
      <c r="E73" s="231" t="s">
        <v>186</v>
      </c>
      <c r="F73" s="224">
        <v>45.1</v>
      </c>
      <c r="G73" s="225">
        <v>1.21</v>
      </c>
      <c r="H73" s="225">
        <v>1.1399999999999999</v>
      </c>
      <c r="I73" s="225">
        <v>6.7000000000000004E-2</v>
      </c>
      <c r="J73" s="225">
        <v>1.1299999999999999</v>
      </c>
      <c r="K73" s="225">
        <v>1.6500000000000001E-2</v>
      </c>
      <c r="L73" s="232" t="s">
        <v>3124</v>
      </c>
      <c r="M73" s="233" t="s">
        <v>3253</v>
      </c>
    </row>
    <row r="74" spans="1:13" s="190" customFormat="1" ht="24" customHeight="1">
      <c r="A74" s="121"/>
      <c r="B74" s="226"/>
      <c r="C74" s="241" t="s">
        <v>3254</v>
      </c>
      <c r="D74" s="219"/>
      <c r="E74" s="219"/>
      <c r="F74" s="220"/>
      <c r="G74" s="221"/>
      <c r="H74" s="221"/>
      <c r="I74" s="221"/>
      <c r="J74" s="221"/>
      <c r="K74" s="221"/>
      <c r="L74" s="219"/>
      <c r="M74" s="241" t="s">
        <v>3255</v>
      </c>
    </row>
    <row r="75" spans="1:13" s="190" customFormat="1" ht="15.75" customHeight="1">
      <c r="A75" s="130" t="s">
        <v>3256</v>
      </c>
      <c r="B75" s="746"/>
      <c r="C75" s="211" t="s">
        <v>3257</v>
      </c>
      <c r="D75" s="212"/>
      <c r="E75" s="227" t="s">
        <v>2989</v>
      </c>
      <c r="F75" s="228"/>
      <c r="G75" s="228"/>
      <c r="H75" s="228"/>
      <c r="I75" s="228"/>
      <c r="J75" s="228"/>
      <c r="K75" s="228"/>
      <c r="L75" s="212"/>
      <c r="M75" s="215" t="s">
        <v>3258</v>
      </c>
    </row>
    <row r="76" spans="1:13" s="190" customFormat="1" ht="15.75" customHeight="1">
      <c r="A76" s="121" t="s">
        <v>3259</v>
      </c>
      <c r="B76" s="217" t="s">
        <v>3260</v>
      </c>
      <c r="C76" s="218" t="s">
        <v>3055</v>
      </c>
      <c r="D76" s="219" t="s">
        <v>3005</v>
      </c>
      <c r="E76" s="219" t="s">
        <v>186</v>
      </c>
      <c r="F76" s="220">
        <v>674</v>
      </c>
      <c r="G76" s="221">
        <v>4.21</v>
      </c>
      <c r="H76" s="221">
        <v>5.4599999999999996E-3</v>
      </c>
      <c r="I76" s="221">
        <v>4.21</v>
      </c>
      <c r="J76" s="221">
        <v>0</v>
      </c>
      <c r="K76" s="221">
        <v>2.3800000000000002E-2</v>
      </c>
      <c r="L76" s="219" t="s">
        <v>3006</v>
      </c>
      <c r="M76" s="223" t="s">
        <v>3056</v>
      </c>
    </row>
    <row r="77" spans="1:13" s="190" customFormat="1" ht="15.75" customHeight="1">
      <c r="A77" s="121" t="s">
        <v>3261</v>
      </c>
      <c r="B77" s="217" t="s">
        <v>3262</v>
      </c>
      <c r="C77" s="218" t="s">
        <v>3263</v>
      </c>
      <c r="D77" s="219" t="s">
        <v>3005</v>
      </c>
      <c r="E77" s="219" t="s">
        <v>186</v>
      </c>
      <c r="F77" s="220">
        <v>621</v>
      </c>
      <c r="G77" s="221">
        <v>2.23</v>
      </c>
      <c r="H77" s="221">
        <v>7.4900000000000001E-3</v>
      </c>
      <c r="I77" s="221">
        <v>2.2200000000000002</v>
      </c>
      <c r="J77" s="221">
        <v>0</v>
      </c>
      <c r="K77" s="221">
        <v>0.47899999999999998</v>
      </c>
      <c r="L77" s="219" t="s">
        <v>3006</v>
      </c>
      <c r="M77" s="223" t="s">
        <v>3264</v>
      </c>
    </row>
    <row r="78" spans="1:13" s="235" customFormat="1" ht="15.75" customHeight="1">
      <c r="A78" s="226" t="s">
        <v>3265</v>
      </c>
      <c r="B78" s="217" t="s">
        <v>3266</v>
      </c>
      <c r="C78" s="230" t="s">
        <v>3267</v>
      </c>
      <c r="D78" s="231" t="s">
        <v>3005</v>
      </c>
      <c r="E78" s="231" t="s">
        <v>186</v>
      </c>
      <c r="F78" s="224">
        <v>944</v>
      </c>
      <c r="G78" s="225">
        <v>3.38</v>
      </c>
      <c r="H78" s="225">
        <v>1.3599999999999999E-2</v>
      </c>
      <c r="I78" s="225">
        <v>3.37</v>
      </c>
      <c r="J78" s="225">
        <v>0</v>
      </c>
      <c r="K78" s="225">
        <v>0.74199999999999999</v>
      </c>
      <c r="L78" s="231" t="s">
        <v>3006</v>
      </c>
      <c r="M78" s="233" t="s">
        <v>3268</v>
      </c>
    </row>
    <row r="79" spans="1:13" s="190" customFormat="1" ht="15.75" customHeight="1">
      <c r="A79" s="242" t="s">
        <v>3269</v>
      </c>
      <c r="B79" s="217" t="s">
        <v>3270</v>
      </c>
      <c r="C79" s="218" t="s">
        <v>3271</v>
      </c>
      <c r="D79" s="219" t="s">
        <v>3005</v>
      </c>
      <c r="E79" s="219" t="s">
        <v>186</v>
      </c>
      <c r="F79" s="220">
        <v>1610</v>
      </c>
      <c r="G79" s="221">
        <v>3.94</v>
      </c>
      <c r="H79" s="221">
        <v>1.1599999999999999E-2</v>
      </c>
      <c r="I79" s="221">
        <v>3.93</v>
      </c>
      <c r="J79" s="221">
        <v>0</v>
      </c>
      <c r="K79" s="221">
        <v>1.36</v>
      </c>
      <c r="L79" s="219" t="s">
        <v>3006</v>
      </c>
      <c r="M79" s="223" t="s">
        <v>3272</v>
      </c>
    </row>
    <row r="80" spans="1:13" s="190" customFormat="1" ht="15.75" customHeight="1">
      <c r="A80" s="121" t="s">
        <v>3273</v>
      </c>
      <c r="B80" s="217" t="s">
        <v>3274</v>
      </c>
      <c r="C80" s="218" t="s">
        <v>3275</v>
      </c>
      <c r="D80" s="219" t="s">
        <v>3005</v>
      </c>
      <c r="E80" s="219" t="s">
        <v>186</v>
      </c>
      <c r="F80" s="220">
        <v>1530</v>
      </c>
      <c r="G80" s="221">
        <v>3.91</v>
      </c>
      <c r="H80" s="221">
        <v>3.61E-2</v>
      </c>
      <c r="I80" s="221">
        <v>3.87</v>
      </c>
      <c r="J80" s="221">
        <v>0</v>
      </c>
      <c r="K80" s="221">
        <v>1.23</v>
      </c>
      <c r="L80" s="219" t="s">
        <v>3006</v>
      </c>
      <c r="M80" s="223" t="s">
        <v>3276</v>
      </c>
    </row>
    <row r="81" spans="1:13" s="190" customFormat="1" ht="15.75" customHeight="1">
      <c r="A81" s="121" t="s">
        <v>3277</v>
      </c>
      <c r="B81" s="217" t="s">
        <v>3278</v>
      </c>
      <c r="C81" s="218" t="s">
        <v>3279</v>
      </c>
      <c r="D81" s="219" t="s">
        <v>3005</v>
      </c>
      <c r="E81" s="219" t="s">
        <v>186</v>
      </c>
      <c r="F81" s="220">
        <v>1570</v>
      </c>
      <c r="G81" s="221">
        <v>3.75</v>
      </c>
      <c r="H81" s="221">
        <v>2.12E-2</v>
      </c>
      <c r="I81" s="221">
        <v>3.73</v>
      </c>
      <c r="J81" s="221">
        <v>0</v>
      </c>
      <c r="K81" s="221">
        <v>1.07</v>
      </c>
      <c r="L81" s="219" t="s">
        <v>3006</v>
      </c>
      <c r="M81" s="223" t="s">
        <v>3280</v>
      </c>
    </row>
    <row r="82" spans="1:13" s="190" customFormat="1" ht="15.75" customHeight="1">
      <c r="A82" s="121" t="s">
        <v>3281</v>
      </c>
      <c r="B82" s="217" t="s">
        <v>3282</v>
      </c>
      <c r="C82" s="218" t="s">
        <v>3095</v>
      </c>
      <c r="D82" s="219" t="s">
        <v>3005</v>
      </c>
      <c r="E82" s="219" t="s">
        <v>186</v>
      </c>
      <c r="F82" s="220">
        <v>55.6</v>
      </c>
      <c r="G82" s="221">
        <v>1.6299999999999999E-2</v>
      </c>
      <c r="H82" s="221">
        <v>2.2699999999999999E-3</v>
      </c>
      <c r="I82" s="221">
        <v>1.4E-2</v>
      </c>
      <c r="J82" s="221">
        <v>0</v>
      </c>
      <c r="K82" s="221">
        <v>7.0699999999999999E-3</v>
      </c>
      <c r="L82" s="219" t="s">
        <v>3006</v>
      </c>
      <c r="M82" s="223" t="s">
        <v>3096</v>
      </c>
    </row>
    <row r="83" spans="1:13" s="190" customFormat="1" ht="15.75" customHeight="1">
      <c r="A83" s="121" t="s">
        <v>3283</v>
      </c>
      <c r="B83" s="217" t="s">
        <v>3284</v>
      </c>
      <c r="C83" s="218" t="s">
        <v>3071</v>
      </c>
      <c r="D83" s="219" t="s">
        <v>3005</v>
      </c>
      <c r="E83" s="219" t="s">
        <v>186</v>
      </c>
      <c r="F83" s="224">
        <v>282</v>
      </c>
      <c r="G83" s="225">
        <v>3.02</v>
      </c>
      <c r="H83" s="225">
        <v>2.79</v>
      </c>
      <c r="I83" s="225">
        <v>0.22600000000000001</v>
      </c>
      <c r="J83" s="225">
        <v>0</v>
      </c>
      <c r="K83" s="225">
        <v>6.59E-2</v>
      </c>
      <c r="L83" s="219" t="s">
        <v>3006</v>
      </c>
      <c r="M83" s="223" t="s">
        <v>3072</v>
      </c>
    </row>
    <row r="84" spans="1:13" s="190" customFormat="1" ht="15.75" customHeight="1">
      <c r="A84" s="121" t="s">
        <v>3285</v>
      </c>
      <c r="B84" s="217" t="s">
        <v>3286</v>
      </c>
      <c r="C84" s="218" t="s">
        <v>3099</v>
      </c>
      <c r="D84" s="219" t="s">
        <v>3005</v>
      </c>
      <c r="E84" s="219" t="s">
        <v>186</v>
      </c>
      <c r="F84" s="224">
        <v>1180</v>
      </c>
      <c r="G84" s="225">
        <v>3.23</v>
      </c>
      <c r="H84" s="225">
        <v>2.01E-2</v>
      </c>
      <c r="I84" s="225">
        <v>3.21</v>
      </c>
      <c r="J84" s="225">
        <v>0</v>
      </c>
      <c r="K84" s="225">
        <v>0.83899999999999997</v>
      </c>
      <c r="L84" s="219" t="s">
        <v>3006</v>
      </c>
      <c r="M84" s="223" t="s">
        <v>3100</v>
      </c>
    </row>
    <row r="85" spans="1:13" s="190" customFormat="1" ht="15.75" customHeight="1">
      <c r="A85" s="121" t="s">
        <v>3287</v>
      </c>
      <c r="B85" s="217" t="s">
        <v>3288</v>
      </c>
      <c r="C85" s="218" t="s">
        <v>3103</v>
      </c>
      <c r="D85" s="219" t="s">
        <v>3005</v>
      </c>
      <c r="E85" s="219" t="s">
        <v>186</v>
      </c>
      <c r="F85" s="224">
        <v>825</v>
      </c>
      <c r="G85" s="225">
        <v>2.84</v>
      </c>
      <c r="H85" s="225">
        <v>1.06E-2</v>
      </c>
      <c r="I85" s="225">
        <v>2.83</v>
      </c>
      <c r="J85" s="225">
        <v>0</v>
      </c>
      <c r="K85" s="225">
        <v>0.64700000000000002</v>
      </c>
      <c r="L85" s="219" t="s">
        <v>3006</v>
      </c>
      <c r="M85" s="223" t="s">
        <v>3104</v>
      </c>
    </row>
    <row r="86" spans="1:13" s="190" customFormat="1" ht="15.75" customHeight="1">
      <c r="A86" s="121" t="s">
        <v>3289</v>
      </c>
      <c r="B86" s="217" t="s">
        <v>3290</v>
      </c>
      <c r="C86" s="218" t="s">
        <v>3107</v>
      </c>
      <c r="D86" s="219" t="s">
        <v>3005</v>
      </c>
      <c r="E86" s="219" t="s">
        <v>186</v>
      </c>
      <c r="F86" s="220">
        <v>509</v>
      </c>
      <c r="G86" s="221">
        <v>0.89800000000000002</v>
      </c>
      <c r="H86" s="221">
        <v>7.9100000000000004E-2</v>
      </c>
      <c r="I86" s="221">
        <v>0.81899999999999995</v>
      </c>
      <c r="J86" s="221">
        <v>0</v>
      </c>
      <c r="K86" s="221">
        <v>0.36299999999999999</v>
      </c>
      <c r="L86" s="219" t="s">
        <v>3006</v>
      </c>
      <c r="M86" s="223" t="s">
        <v>3108</v>
      </c>
    </row>
    <row r="87" spans="1:13" s="190" customFormat="1" ht="15.75" customHeight="1">
      <c r="A87" s="121" t="s">
        <v>3291</v>
      </c>
      <c r="B87" s="217" t="s">
        <v>3292</v>
      </c>
      <c r="C87" s="218" t="s">
        <v>3741</v>
      </c>
      <c r="D87" s="219" t="s">
        <v>3005</v>
      </c>
      <c r="E87" s="219" t="s">
        <v>186</v>
      </c>
      <c r="F87" s="224">
        <v>151</v>
      </c>
      <c r="G87" s="225">
        <v>1.36</v>
      </c>
      <c r="H87" s="225">
        <v>1.2</v>
      </c>
      <c r="I87" s="225">
        <v>0.159</v>
      </c>
      <c r="J87" s="225">
        <v>0</v>
      </c>
      <c r="K87" s="225">
        <v>4.7600000000000003E-2</v>
      </c>
      <c r="L87" s="219" t="s">
        <v>3006</v>
      </c>
      <c r="M87" s="223" t="s">
        <v>3742</v>
      </c>
    </row>
    <row r="88" spans="1:13" s="190" customFormat="1" ht="15.75" customHeight="1">
      <c r="A88" s="121" t="s">
        <v>3293</v>
      </c>
      <c r="B88" s="217" t="s">
        <v>3294</v>
      </c>
      <c r="C88" s="218" t="s">
        <v>3743</v>
      </c>
      <c r="D88" s="219" t="s">
        <v>3005</v>
      </c>
      <c r="E88" s="219" t="s">
        <v>186</v>
      </c>
      <c r="F88" s="224">
        <v>145</v>
      </c>
      <c r="G88" s="225">
        <v>1.35</v>
      </c>
      <c r="H88" s="225">
        <v>1.2</v>
      </c>
      <c r="I88" s="225">
        <v>0.14799999999999999</v>
      </c>
      <c r="J88" s="225">
        <v>0</v>
      </c>
      <c r="K88" s="225">
        <v>4.4699999999999997E-2</v>
      </c>
      <c r="L88" s="219" t="s">
        <v>3006</v>
      </c>
      <c r="M88" s="223" t="s">
        <v>3744</v>
      </c>
    </row>
    <row r="89" spans="1:13" s="190" customFormat="1" ht="15.75" customHeight="1">
      <c r="A89" s="121" t="s">
        <v>3295</v>
      </c>
      <c r="B89" s="217" t="s">
        <v>3296</v>
      </c>
      <c r="C89" s="218" t="s">
        <v>3745</v>
      </c>
      <c r="D89" s="219" t="s">
        <v>3005</v>
      </c>
      <c r="E89" s="219" t="s">
        <v>186</v>
      </c>
      <c r="F89" s="224">
        <v>156</v>
      </c>
      <c r="G89" s="225">
        <v>1.37</v>
      </c>
      <c r="H89" s="225">
        <v>1.2</v>
      </c>
      <c r="I89" s="225">
        <v>0.16700000000000001</v>
      </c>
      <c r="J89" s="225">
        <v>0</v>
      </c>
      <c r="K89" s="225">
        <v>0.05</v>
      </c>
      <c r="L89" s="219" t="s">
        <v>3006</v>
      </c>
      <c r="M89" s="223" t="s">
        <v>3746</v>
      </c>
    </row>
    <row r="90" spans="1:13" s="190" customFormat="1" ht="15.75" customHeight="1">
      <c r="A90" s="121" t="s">
        <v>3297</v>
      </c>
      <c r="B90" s="217" t="s">
        <v>3298</v>
      </c>
      <c r="C90" s="218" t="s">
        <v>3747</v>
      </c>
      <c r="D90" s="219" t="s">
        <v>3005</v>
      </c>
      <c r="E90" s="219" t="s">
        <v>186</v>
      </c>
      <c r="F90" s="224">
        <v>222</v>
      </c>
      <c r="G90" s="225">
        <v>1.47</v>
      </c>
      <c r="H90" s="225">
        <v>1.21</v>
      </c>
      <c r="I90" s="225">
        <v>0.253</v>
      </c>
      <c r="J90" s="225">
        <v>0</v>
      </c>
      <c r="K90" s="225">
        <v>7.2700000000000001E-2</v>
      </c>
      <c r="L90" s="219" t="s">
        <v>3006</v>
      </c>
      <c r="M90" s="223" t="s">
        <v>3748</v>
      </c>
    </row>
    <row r="91" spans="1:13" s="235" customFormat="1" ht="15.75" customHeight="1">
      <c r="A91" s="226" t="s">
        <v>3299</v>
      </c>
      <c r="B91" s="217" t="s">
        <v>3300</v>
      </c>
      <c r="C91" s="230" t="s">
        <v>3749</v>
      </c>
      <c r="D91" s="231" t="s">
        <v>3005</v>
      </c>
      <c r="E91" s="231" t="s">
        <v>186</v>
      </c>
      <c r="F91" s="224">
        <v>177</v>
      </c>
      <c r="G91" s="225">
        <v>1.39</v>
      </c>
      <c r="H91" s="225">
        <v>1.2</v>
      </c>
      <c r="I91" s="225">
        <v>0.185</v>
      </c>
      <c r="J91" s="225">
        <v>0</v>
      </c>
      <c r="K91" s="225">
        <v>5.45E-2</v>
      </c>
      <c r="L91" s="231" t="s">
        <v>3006</v>
      </c>
      <c r="M91" s="233" t="s">
        <v>3750</v>
      </c>
    </row>
    <row r="92" spans="1:13" s="235" customFormat="1" ht="15.75" customHeight="1">
      <c r="A92" s="226" t="s">
        <v>3301</v>
      </c>
      <c r="B92" s="217" t="s">
        <v>3302</v>
      </c>
      <c r="C92" s="230" t="s">
        <v>3751</v>
      </c>
      <c r="D92" s="231" t="s">
        <v>3005</v>
      </c>
      <c r="E92" s="231" t="s">
        <v>186</v>
      </c>
      <c r="F92" s="224">
        <v>179</v>
      </c>
      <c r="G92" s="225">
        <v>1.39</v>
      </c>
      <c r="H92" s="225">
        <v>1.21</v>
      </c>
      <c r="I92" s="225">
        <v>0.186</v>
      </c>
      <c r="J92" s="225">
        <v>0</v>
      </c>
      <c r="K92" s="225">
        <v>5.4399999999999997E-2</v>
      </c>
      <c r="L92" s="231" t="s">
        <v>3006</v>
      </c>
      <c r="M92" s="233" t="s">
        <v>3752</v>
      </c>
    </row>
    <row r="93" spans="1:13" s="235" customFormat="1" ht="15.75" customHeight="1">
      <c r="A93" s="226" t="s">
        <v>3303</v>
      </c>
      <c r="B93" s="217" t="s">
        <v>3304</v>
      </c>
      <c r="C93" s="230" t="s">
        <v>3753</v>
      </c>
      <c r="D93" s="231" t="s">
        <v>3005</v>
      </c>
      <c r="E93" s="231" t="s">
        <v>186</v>
      </c>
      <c r="F93" s="224">
        <v>144</v>
      </c>
      <c r="G93" s="225">
        <v>1.33</v>
      </c>
      <c r="H93" s="225">
        <v>1.2</v>
      </c>
      <c r="I93" s="225">
        <v>0.13700000000000001</v>
      </c>
      <c r="J93" s="225">
        <v>0</v>
      </c>
      <c r="K93" s="225">
        <v>3.6999999999999998E-2</v>
      </c>
      <c r="L93" s="231" t="s">
        <v>3006</v>
      </c>
      <c r="M93" s="233" t="s">
        <v>3754</v>
      </c>
    </row>
    <row r="94" spans="1:13" s="235" customFormat="1" ht="15.75" customHeight="1">
      <c r="A94" s="226" t="s">
        <v>3305</v>
      </c>
      <c r="B94" s="217" t="s">
        <v>3306</v>
      </c>
      <c r="C94" s="230" t="s">
        <v>3755</v>
      </c>
      <c r="D94" s="231" t="s">
        <v>3005</v>
      </c>
      <c r="E94" s="231" t="s">
        <v>186</v>
      </c>
      <c r="F94" s="224">
        <v>164</v>
      </c>
      <c r="G94" s="225">
        <v>1.39</v>
      </c>
      <c r="H94" s="225">
        <v>1.2</v>
      </c>
      <c r="I94" s="225">
        <v>0.188</v>
      </c>
      <c r="J94" s="225">
        <v>0</v>
      </c>
      <c r="K94" s="225">
        <v>4.7800000000000002E-2</v>
      </c>
      <c r="L94" s="231" t="s">
        <v>3006</v>
      </c>
      <c r="M94" s="233" t="s">
        <v>3756</v>
      </c>
    </row>
    <row r="95" spans="1:13" s="190" customFormat="1" ht="15.75" customHeight="1">
      <c r="A95" s="121" t="s">
        <v>3307</v>
      </c>
      <c r="B95" s="217" t="s">
        <v>3308</v>
      </c>
      <c r="C95" s="218" t="s">
        <v>3309</v>
      </c>
      <c r="D95" s="219" t="s">
        <v>3005</v>
      </c>
      <c r="E95" s="219" t="s">
        <v>186</v>
      </c>
      <c r="F95" s="220">
        <v>110</v>
      </c>
      <c r="G95" s="221">
        <v>1.29</v>
      </c>
      <c r="H95" s="221">
        <v>1.2</v>
      </c>
      <c r="I95" s="221">
        <v>8.6999999999999994E-2</v>
      </c>
      <c r="J95" s="221">
        <v>0</v>
      </c>
      <c r="K95" s="221">
        <v>2.8199999999999999E-2</v>
      </c>
      <c r="L95" s="219" t="s">
        <v>3006</v>
      </c>
      <c r="M95" s="223" t="s">
        <v>3310</v>
      </c>
    </row>
    <row r="96" spans="1:13" s="190" customFormat="1" ht="15.75" customHeight="1">
      <c r="A96" s="121" t="s">
        <v>3311</v>
      </c>
      <c r="B96" s="217" t="s">
        <v>3312</v>
      </c>
      <c r="C96" s="218" t="s">
        <v>3313</v>
      </c>
      <c r="D96" s="219" t="s">
        <v>3005</v>
      </c>
      <c r="E96" s="219" t="s">
        <v>186</v>
      </c>
      <c r="F96" s="220">
        <v>76.8</v>
      </c>
      <c r="G96" s="221">
        <v>1.19</v>
      </c>
      <c r="H96" s="221">
        <v>1.17</v>
      </c>
      <c r="I96" s="221">
        <v>2.46E-2</v>
      </c>
      <c r="J96" s="221">
        <v>0</v>
      </c>
      <c r="K96" s="221">
        <v>1.23E-2</v>
      </c>
      <c r="L96" s="219" t="s">
        <v>3006</v>
      </c>
      <c r="M96" s="223" t="s">
        <v>3314</v>
      </c>
    </row>
    <row r="97" spans="1:13" s="190" customFormat="1" ht="15.75" customHeight="1">
      <c r="A97" s="121" t="s">
        <v>3315</v>
      </c>
      <c r="B97" s="217" t="s">
        <v>3316</v>
      </c>
      <c r="C97" s="218" t="s">
        <v>3317</v>
      </c>
      <c r="D97" s="219" t="s">
        <v>3005</v>
      </c>
      <c r="E97" s="219" t="s">
        <v>186</v>
      </c>
      <c r="F97" s="220">
        <v>668</v>
      </c>
      <c r="G97" s="221">
        <v>3.45</v>
      </c>
      <c r="H97" s="221">
        <v>0.73899999999999999</v>
      </c>
      <c r="I97" s="221">
        <v>2.71</v>
      </c>
      <c r="J97" s="221">
        <v>0</v>
      </c>
      <c r="K97" s="221">
        <v>0.17</v>
      </c>
      <c r="L97" s="219" t="s">
        <v>3006</v>
      </c>
      <c r="M97" s="223" t="s">
        <v>3318</v>
      </c>
    </row>
    <row r="98" spans="1:13" s="190" customFormat="1" ht="15.75" customHeight="1">
      <c r="A98" s="121" t="s">
        <v>3319</v>
      </c>
      <c r="B98" s="217" t="s">
        <v>3320</v>
      </c>
      <c r="C98" s="218" t="s">
        <v>3091</v>
      </c>
      <c r="D98" s="219" t="s">
        <v>3005</v>
      </c>
      <c r="E98" s="219" t="s">
        <v>186</v>
      </c>
      <c r="F98" s="220">
        <v>143</v>
      </c>
      <c r="G98" s="221">
        <v>3.36</v>
      </c>
      <c r="H98" s="221">
        <v>3.17</v>
      </c>
      <c r="I98" s="221">
        <v>0.191</v>
      </c>
      <c r="J98" s="221">
        <v>0</v>
      </c>
      <c r="K98" s="221">
        <v>3.09E-2</v>
      </c>
      <c r="L98" s="219" t="s">
        <v>3006</v>
      </c>
      <c r="M98" s="223" t="s">
        <v>3092</v>
      </c>
    </row>
    <row r="99" spans="1:13" s="190" customFormat="1" ht="15.75" customHeight="1">
      <c r="A99" s="121" t="s">
        <v>3321</v>
      </c>
      <c r="B99" s="217" t="s">
        <v>3322</v>
      </c>
      <c r="C99" s="218" t="s">
        <v>3323</v>
      </c>
      <c r="D99" s="219" t="s">
        <v>3005</v>
      </c>
      <c r="E99" s="219" t="s">
        <v>186</v>
      </c>
      <c r="F99" s="224">
        <v>515</v>
      </c>
      <c r="G99" s="225">
        <v>2.65</v>
      </c>
      <c r="H99" s="225">
        <v>0.56899999999999995</v>
      </c>
      <c r="I99" s="225">
        <v>2.08</v>
      </c>
      <c r="J99" s="225">
        <v>0</v>
      </c>
      <c r="K99" s="225">
        <v>0.125</v>
      </c>
      <c r="L99" s="219" t="s">
        <v>3006</v>
      </c>
      <c r="M99" s="223" t="s">
        <v>3324</v>
      </c>
    </row>
    <row r="100" spans="1:13" s="190" customFormat="1" ht="15.75" customHeight="1">
      <c r="A100" s="121" t="s">
        <v>3325</v>
      </c>
      <c r="B100" s="217" t="s">
        <v>3326</v>
      </c>
      <c r="C100" s="218" t="s">
        <v>3327</v>
      </c>
      <c r="D100" s="219" t="s">
        <v>3005</v>
      </c>
      <c r="E100" s="219" t="s">
        <v>186</v>
      </c>
      <c r="F100" s="224">
        <v>329</v>
      </c>
      <c r="G100" s="225">
        <v>2.37</v>
      </c>
      <c r="H100" s="225">
        <v>0.68300000000000005</v>
      </c>
      <c r="I100" s="225">
        <v>1.68</v>
      </c>
      <c r="J100" s="225">
        <v>0</v>
      </c>
      <c r="K100" s="225">
        <v>3.2399999999999998E-2</v>
      </c>
      <c r="L100" s="219" t="s">
        <v>3006</v>
      </c>
      <c r="M100" s="223" t="s">
        <v>3328</v>
      </c>
    </row>
    <row r="101" spans="1:13" s="190" customFormat="1" ht="15.75" customHeight="1">
      <c r="A101" s="121" t="s">
        <v>3329</v>
      </c>
      <c r="B101" s="217" t="s">
        <v>3330</v>
      </c>
      <c r="C101" s="218" t="s">
        <v>3331</v>
      </c>
      <c r="D101" s="219" t="s">
        <v>3005</v>
      </c>
      <c r="E101" s="219" t="s">
        <v>186</v>
      </c>
      <c r="F101" s="224">
        <v>82.2</v>
      </c>
      <c r="G101" s="225">
        <v>1.19</v>
      </c>
      <c r="H101" s="225">
        <v>1.1599999999999999</v>
      </c>
      <c r="I101" s="225">
        <v>3.3000000000000002E-2</v>
      </c>
      <c r="J101" s="225">
        <v>0</v>
      </c>
      <c r="K101" s="225">
        <v>1.55E-2</v>
      </c>
      <c r="L101" s="219" t="s">
        <v>3006</v>
      </c>
      <c r="M101" s="223" t="s">
        <v>3332</v>
      </c>
    </row>
    <row r="102" spans="1:13" s="235" customFormat="1" ht="15.75" customHeight="1">
      <c r="A102" s="226" t="s">
        <v>3333</v>
      </c>
      <c r="B102" s="217" t="s">
        <v>3334</v>
      </c>
      <c r="C102" s="230" t="s">
        <v>3335</v>
      </c>
      <c r="D102" s="231" t="s">
        <v>3005</v>
      </c>
      <c r="E102" s="231" t="s">
        <v>186</v>
      </c>
      <c r="F102" s="224">
        <v>265</v>
      </c>
      <c r="G102" s="225">
        <v>1.98</v>
      </c>
      <c r="H102" s="225">
        <v>0.90600000000000003</v>
      </c>
      <c r="I102" s="225">
        <v>1.08</v>
      </c>
      <c r="J102" s="225">
        <v>0</v>
      </c>
      <c r="K102" s="225">
        <v>5.4399999999999997E-2</v>
      </c>
      <c r="L102" s="231" t="s">
        <v>3006</v>
      </c>
      <c r="M102" s="233" t="s">
        <v>3336</v>
      </c>
    </row>
    <row r="103" spans="1:13" s="190" customFormat="1" ht="15.75" customHeight="1">
      <c r="A103" s="121" t="s">
        <v>3337</v>
      </c>
      <c r="B103" s="217" t="s">
        <v>3338</v>
      </c>
      <c r="C103" s="218" t="s">
        <v>3339</v>
      </c>
      <c r="D103" s="219" t="s">
        <v>3005</v>
      </c>
      <c r="E103" s="219" t="s">
        <v>186</v>
      </c>
      <c r="F103" s="224">
        <v>936</v>
      </c>
      <c r="G103" s="225">
        <v>3.16</v>
      </c>
      <c r="H103" s="225">
        <v>0.28899999999999998</v>
      </c>
      <c r="I103" s="225">
        <v>2.87</v>
      </c>
      <c r="J103" s="225">
        <v>0</v>
      </c>
      <c r="K103" s="225">
        <v>0.52300000000000002</v>
      </c>
      <c r="L103" s="219" t="s">
        <v>3006</v>
      </c>
      <c r="M103" s="223" t="s">
        <v>3340</v>
      </c>
    </row>
    <row r="104" spans="1:13" s="190" customFormat="1" ht="15.75" customHeight="1">
      <c r="A104" s="130" t="s">
        <v>3341</v>
      </c>
      <c r="B104" s="746"/>
      <c r="C104" s="211" t="s">
        <v>3342</v>
      </c>
      <c r="D104" s="212"/>
      <c r="E104" s="227" t="s">
        <v>2989</v>
      </c>
      <c r="F104" s="228"/>
      <c r="G104" s="228"/>
      <c r="H104" s="228"/>
      <c r="I104" s="228"/>
      <c r="J104" s="228"/>
      <c r="K104" s="228"/>
      <c r="L104" s="212"/>
      <c r="M104" s="215" t="s">
        <v>3343</v>
      </c>
    </row>
    <row r="105" spans="1:13" s="190" customFormat="1" ht="15.75" customHeight="1">
      <c r="A105" s="121" t="s">
        <v>3344</v>
      </c>
      <c r="B105" s="217" t="s">
        <v>3345</v>
      </c>
      <c r="C105" s="218" t="s">
        <v>3741</v>
      </c>
      <c r="D105" s="219" t="s">
        <v>3005</v>
      </c>
      <c r="E105" s="219" t="s">
        <v>186</v>
      </c>
      <c r="F105" s="224">
        <v>86.5</v>
      </c>
      <c r="G105" s="225">
        <v>1.22</v>
      </c>
      <c r="H105" s="225">
        <v>1.0900000000000001</v>
      </c>
      <c r="I105" s="225">
        <v>0.13100000000000001</v>
      </c>
      <c r="J105" s="225">
        <v>1.07</v>
      </c>
      <c r="K105" s="225">
        <v>3.6799999999999999E-2</v>
      </c>
      <c r="L105" s="219" t="s">
        <v>3006</v>
      </c>
      <c r="M105" s="223" t="s">
        <v>3742</v>
      </c>
    </row>
    <row r="106" spans="1:13" s="190" customFormat="1" ht="15.75" customHeight="1">
      <c r="A106" s="121" t="s">
        <v>3346</v>
      </c>
      <c r="B106" s="217" t="s">
        <v>3347</v>
      </c>
      <c r="C106" s="218" t="s">
        <v>3743</v>
      </c>
      <c r="D106" s="219" t="s">
        <v>3005</v>
      </c>
      <c r="E106" s="219" t="s">
        <v>186</v>
      </c>
      <c r="F106" s="224">
        <v>81.2</v>
      </c>
      <c r="G106" s="225">
        <v>1.21</v>
      </c>
      <c r="H106" s="225">
        <v>1.0900000000000001</v>
      </c>
      <c r="I106" s="225">
        <v>0.122</v>
      </c>
      <c r="J106" s="225">
        <v>1.07</v>
      </c>
      <c r="K106" s="225">
        <v>3.4200000000000001E-2</v>
      </c>
      <c r="L106" s="219" t="s">
        <v>3006</v>
      </c>
      <c r="M106" s="223" t="s">
        <v>3744</v>
      </c>
    </row>
    <row r="107" spans="1:13" s="190" customFormat="1" ht="15.75" customHeight="1">
      <c r="A107" s="121" t="s">
        <v>3348</v>
      </c>
      <c r="B107" s="217" t="s">
        <v>3349</v>
      </c>
      <c r="C107" s="218" t="s">
        <v>3745</v>
      </c>
      <c r="D107" s="219" t="s">
        <v>3005</v>
      </c>
      <c r="E107" s="219" t="s">
        <v>186</v>
      </c>
      <c r="F107" s="224">
        <v>90.9</v>
      </c>
      <c r="G107" s="225">
        <v>1.23</v>
      </c>
      <c r="H107" s="225">
        <v>1.0900000000000001</v>
      </c>
      <c r="I107" s="225">
        <v>0.13900000000000001</v>
      </c>
      <c r="J107" s="225">
        <v>1.07</v>
      </c>
      <c r="K107" s="225">
        <v>3.9E-2</v>
      </c>
      <c r="L107" s="219" t="s">
        <v>3006</v>
      </c>
      <c r="M107" s="223" t="s">
        <v>3746</v>
      </c>
    </row>
    <row r="108" spans="1:13" s="190" customFormat="1" ht="15.75" customHeight="1">
      <c r="A108" s="121" t="s">
        <v>3350</v>
      </c>
      <c r="B108" s="217" t="s">
        <v>3351</v>
      </c>
      <c r="C108" s="218" t="s">
        <v>3747</v>
      </c>
      <c r="D108" s="219" t="s">
        <v>3005</v>
      </c>
      <c r="E108" s="219" t="s">
        <v>186</v>
      </c>
      <c r="F108" s="224">
        <v>151</v>
      </c>
      <c r="G108" s="225">
        <v>1.31</v>
      </c>
      <c r="H108" s="225">
        <v>1.0900000000000001</v>
      </c>
      <c r="I108" s="225">
        <v>0.216</v>
      </c>
      <c r="J108" s="225">
        <v>1.07</v>
      </c>
      <c r="K108" s="225">
        <v>5.9400000000000001E-2</v>
      </c>
      <c r="L108" s="219" t="s">
        <v>3006</v>
      </c>
      <c r="M108" s="223" t="s">
        <v>3748</v>
      </c>
    </row>
    <row r="109" spans="1:13" s="235" customFormat="1" ht="15.75" customHeight="1">
      <c r="A109" s="226" t="s">
        <v>3352</v>
      </c>
      <c r="B109" s="217" t="s">
        <v>3353</v>
      </c>
      <c r="C109" s="230" t="s">
        <v>3749</v>
      </c>
      <c r="D109" s="231" t="s">
        <v>3005</v>
      </c>
      <c r="E109" s="231" t="s">
        <v>186</v>
      </c>
      <c r="F109" s="224">
        <v>110</v>
      </c>
      <c r="G109" s="225">
        <v>1.25</v>
      </c>
      <c r="H109" s="225">
        <v>1.0900000000000001</v>
      </c>
      <c r="I109" s="225">
        <v>0.155</v>
      </c>
      <c r="J109" s="225">
        <v>1.07</v>
      </c>
      <c r="K109" s="225">
        <v>4.3099999999999999E-2</v>
      </c>
      <c r="L109" s="231" t="s">
        <v>3006</v>
      </c>
      <c r="M109" s="233" t="s">
        <v>3750</v>
      </c>
    </row>
    <row r="110" spans="1:13" s="235" customFormat="1" ht="15.75" customHeight="1">
      <c r="A110" s="226" t="s">
        <v>3354</v>
      </c>
      <c r="B110" s="217" t="s">
        <v>3355</v>
      </c>
      <c r="C110" s="230" t="s">
        <v>3751</v>
      </c>
      <c r="D110" s="231" t="s">
        <v>3005</v>
      </c>
      <c r="E110" s="231" t="s">
        <v>186</v>
      </c>
      <c r="F110" s="224">
        <v>112</v>
      </c>
      <c r="G110" s="225">
        <v>1.25</v>
      </c>
      <c r="H110" s="225">
        <v>1.0900000000000001</v>
      </c>
      <c r="I110" s="225">
        <v>0.156</v>
      </c>
      <c r="J110" s="225">
        <v>1.07</v>
      </c>
      <c r="K110" s="225">
        <v>4.2900000000000001E-2</v>
      </c>
      <c r="L110" s="231" t="s">
        <v>3006</v>
      </c>
      <c r="M110" s="233" t="s">
        <v>3752</v>
      </c>
    </row>
    <row r="111" spans="1:13" s="235" customFormat="1" ht="15.75" customHeight="1">
      <c r="A111" s="226" t="s">
        <v>3356</v>
      </c>
      <c r="B111" s="217" t="s">
        <v>3357</v>
      </c>
      <c r="C111" s="230" t="s">
        <v>3753</v>
      </c>
      <c r="D111" s="231" t="s">
        <v>3005</v>
      </c>
      <c r="E111" s="231" t="s">
        <v>186</v>
      </c>
      <c r="F111" s="224">
        <v>79.900000000000006</v>
      </c>
      <c r="G111" s="225">
        <v>1.2</v>
      </c>
      <c r="H111" s="225">
        <v>1.08</v>
      </c>
      <c r="I111" s="225">
        <v>0.111</v>
      </c>
      <c r="J111" s="225">
        <v>1.07</v>
      </c>
      <c r="K111" s="225">
        <v>2.7199999999999998E-2</v>
      </c>
      <c r="L111" s="231" t="s">
        <v>3006</v>
      </c>
      <c r="M111" s="233" t="s">
        <v>3754</v>
      </c>
    </row>
    <row r="112" spans="1:13" s="235" customFormat="1" ht="15.75" customHeight="1">
      <c r="A112" s="226" t="s">
        <v>3358</v>
      </c>
      <c r="B112" s="217" t="s">
        <v>3359</v>
      </c>
      <c r="C112" s="230" t="s">
        <v>3755</v>
      </c>
      <c r="D112" s="231" t="s">
        <v>3005</v>
      </c>
      <c r="E112" s="231" t="s">
        <v>186</v>
      </c>
      <c r="F112" s="224">
        <v>98.6</v>
      </c>
      <c r="G112" s="225">
        <v>1.25</v>
      </c>
      <c r="H112" s="225">
        <v>1.0900000000000001</v>
      </c>
      <c r="I112" s="225">
        <v>0.158</v>
      </c>
      <c r="J112" s="225">
        <v>1.07</v>
      </c>
      <c r="K112" s="225">
        <v>3.6999999999999998E-2</v>
      </c>
      <c r="L112" s="231" t="s">
        <v>3006</v>
      </c>
      <c r="M112" s="233" t="s">
        <v>3756</v>
      </c>
    </row>
    <row r="113" spans="1:13" s="235" customFormat="1" ht="15.75" customHeight="1">
      <c r="A113" s="226" t="s">
        <v>3360</v>
      </c>
      <c r="B113" s="217" t="s">
        <v>3361</v>
      </c>
      <c r="C113" s="230" t="s">
        <v>3362</v>
      </c>
      <c r="D113" s="231" t="s">
        <v>3005</v>
      </c>
      <c r="E113" s="231" t="s">
        <v>186</v>
      </c>
      <c r="F113" s="224">
        <v>111</v>
      </c>
      <c r="G113" s="225">
        <v>1.26</v>
      </c>
      <c r="H113" s="225">
        <v>1.0900000000000001</v>
      </c>
      <c r="I113" s="225">
        <v>0.17299999999999999</v>
      </c>
      <c r="J113" s="225">
        <v>1.07</v>
      </c>
      <c r="K113" s="225">
        <v>4.9099999999999998E-2</v>
      </c>
      <c r="L113" s="231" t="s">
        <v>3006</v>
      </c>
      <c r="M113" s="233" t="s">
        <v>3363</v>
      </c>
    </row>
    <row r="114" spans="1:13" s="190" customFormat="1" ht="15.75" customHeight="1">
      <c r="A114" s="121" t="s">
        <v>3364</v>
      </c>
      <c r="B114" s="217" t="s">
        <v>3365</v>
      </c>
      <c r="C114" s="218" t="s">
        <v>3309</v>
      </c>
      <c r="D114" s="219" t="s">
        <v>3005</v>
      </c>
      <c r="E114" s="219" t="s">
        <v>186</v>
      </c>
      <c r="F114" s="220">
        <v>49.4</v>
      </c>
      <c r="G114" s="221">
        <v>1.1499999999999999</v>
      </c>
      <c r="H114" s="221">
        <v>1.0900000000000001</v>
      </c>
      <c r="I114" s="221">
        <v>6.6199999999999995E-2</v>
      </c>
      <c r="J114" s="221">
        <v>1.08</v>
      </c>
      <c r="K114" s="221">
        <v>1.9099999999999999E-2</v>
      </c>
      <c r="L114" s="219" t="s">
        <v>3006</v>
      </c>
      <c r="M114" s="223" t="s">
        <v>3310</v>
      </c>
    </row>
    <row r="115" spans="1:13" s="190" customFormat="1" ht="15.75" customHeight="1">
      <c r="A115" s="121" t="s">
        <v>3366</v>
      </c>
      <c r="B115" s="217" t="s">
        <v>3367</v>
      </c>
      <c r="C115" s="218" t="s">
        <v>3046</v>
      </c>
      <c r="D115" s="219" t="s">
        <v>3005</v>
      </c>
      <c r="E115" s="219" t="s">
        <v>186</v>
      </c>
      <c r="F115" s="224">
        <v>410</v>
      </c>
      <c r="G115" s="225">
        <v>0.79700000000000004</v>
      </c>
      <c r="H115" s="225">
        <v>6.9500000000000006E-2</v>
      </c>
      <c r="I115" s="225">
        <v>0.72699999999999998</v>
      </c>
      <c r="J115" s="225">
        <v>0</v>
      </c>
      <c r="K115" s="225">
        <v>0.32200000000000001</v>
      </c>
      <c r="L115" s="219" t="s">
        <v>3006</v>
      </c>
      <c r="M115" s="223" t="s">
        <v>3047</v>
      </c>
    </row>
    <row r="116" spans="1:13" s="190" customFormat="1" ht="15.75" customHeight="1">
      <c r="A116" s="121" t="s">
        <v>3368</v>
      </c>
      <c r="B116" s="217" t="s">
        <v>3369</v>
      </c>
      <c r="C116" s="218" t="s">
        <v>3370</v>
      </c>
      <c r="D116" s="219" t="s">
        <v>3005</v>
      </c>
      <c r="E116" s="219" t="s">
        <v>186</v>
      </c>
      <c r="F116" s="220">
        <v>231</v>
      </c>
      <c r="G116" s="221">
        <v>0.14199999999999999</v>
      </c>
      <c r="H116" s="221">
        <v>3.4700000000000002E-2</v>
      </c>
      <c r="I116" s="221">
        <v>0.107</v>
      </c>
      <c r="J116" s="221">
        <v>0</v>
      </c>
      <c r="K116" s="221">
        <v>0.155</v>
      </c>
      <c r="L116" s="219" t="s">
        <v>3006</v>
      </c>
      <c r="M116" s="223" t="s">
        <v>3371</v>
      </c>
    </row>
    <row r="117" spans="1:13" s="190" customFormat="1" ht="15.75" customHeight="1">
      <c r="A117" s="121" t="s">
        <v>3372</v>
      </c>
      <c r="B117" s="217" t="s">
        <v>3373</v>
      </c>
      <c r="C117" s="218" t="s">
        <v>3244</v>
      </c>
      <c r="D117" s="219" t="s">
        <v>3005</v>
      </c>
      <c r="E117" s="219" t="s">
        <v>186</v>
      </c>
      <c r="F117" s="224">
        <v>940</v>
      </c>
      <c r="G117" s="225">
        <v>3.38</v>
      </c>
      <c r="H117" s="225">
        <v>1.2999999999999999E-2</v>
      </c>
      <c r="I117" s="225">
        <v>3.37</v>
      </c>
      <c r="J117" s="225">
        <v>0</v>
      </c>
      <c r="K117" s="225">
        <v>0.76700000000000002</v>
      </c>
      <c r="L117" s="219" t="s">
        <v>3006</v>
      </c>
      <c r="M117" s="223" t="s">
        <v>3245</v>
      </c>
    </row>
    <row r="118" spans="1:13" s="235" customFormat="1" ht="15.75" customHeight="1">
      <c r="A118" s="243" t="s">
        <v>3374</v>
      </c>
      <c r="B118" s="739" t="s">
        <v>3375</v>
      </c>
      <c r="C118" s="244" t="s">
        <v>3376</v>
      </c>
      <c r="D118" s="245" t="s">
        <v>3005</v>
      </c>
      <c r="E118" s="245" t="s">
        <v>186</v>
      </c>
      <c r="F118" s="224">
        <v>567</v>
      </c>
      <c r="G118" s="225">
        <v>1.0900000000000001</v>
      </c>
      <c r="H118" s="225">
        <v>9.3600000000000003E-2</v>
      </c>
      <c r="I118" s="225">
        <v>1</v>
      </c>
      <c r="J118" s="225">
        <v>0</v>
      </c>
      <c r="K118" s="225">
        <v>0.43099999999999999</v>
      </c>
      <c r="L118" s="245" t="s">
        <v>3006</v>
      </c>
      <c r="M118" s="246" t="s">
        <v>3245</v>
      </c>
    </row>
    <row r="119" spans="1:13" s="190" customFormat="1" ht="90" customHeight="1">
      <c r="A119" s="2015" t="s">
        <v>3377</v>
      </c>
      <c r="B119" s="2015"/>
      <c r="C119" s="2015"/>
      <c r="D119" s="2015"/>
      <c r="E119" s="2015"/>
      <c r="F119" s="2015"/>
      <c r="G119" s="2015"/>
      <c r="H119" s="2015"/>
      <c r="I119" s="2015"/>
      <c r="J119" s="2015"/>
      <c r="K119" s="2015"/>
      <c r="L119" s="2015"/>
      <c r="M119" s="2015"/>
    </row>
    <row r="120" spans="1:13" s="190" customFormat="1" ht="13.5" customHeight="1">
      <c r="C120" s="191" t="s">
        <v>2989</v>
      </c>
      <c r="D120" s="192"/>
      <c r="E120" s="192" t="s">
        <v>2989</v>
      </c>
      <c r="F120" s="192" t="s">
        <v>2989</v>
      </c>
      <c r="G120" s="192" t="s">
        <v>2989</v>
      </c>
      <c r="H120" s="192" t="s">
        <v>2989</v>
      </c>
      <c r="I120" s="247" t="s">
        <v>2989</v>
      </c>
      <c r="J120" s="247"/>
      <c r="K120" s="192" t="s">
        <v>2989</v>
      </c>
      <c r="L120" s="192"/>
      <c r="M120" s="1184" t="s">
        <v>2989</v>
      </c>
    </row>
    <row r="121" spans="1:13" s="190" customFormat="1" ht="13.5" customHeight="1">
      <c r="C121" s="191" t="s">
        <v>2989</v>
      </c>
      <c r="D121" s="192"/>
      <c r="E121" s="192" t="s">
        <v>2989</v>
      </c>
      <c r="F121" s="192" t="s">
        <v>2989</v>
      </c>
      <c r="G121" s="192" t="s">
        <v>2989</v>
      </c>
      <c r="H121" s="192" t="s">
        <v>2989</v>
      </c>
      <c r="I121" s="247" t="s">
        <v>2989</v>
      </c>
      <c r="J121" s="247"/>
      <c r="K121" s="192" t="s">
        <v>2989</v>
      </c>
      <c r="L121" s="192"/>
      <c r="M121" s="1184" t="s">
        <v>2989</v>
      </c>
    </row>
    <row r="122" spans="1:13" s="190" customFormat="1" ht="13.5" customHeight="1">
      <c r="C122" s="191" t="s">
        <v>2989</v>
      </c>
      <c r="D122" s="192"/>
      <c r="E122" s="192" t="s">
        <v>2989</v>
      </c>
      <c r="F122" s="192" t="s">
        <v>2989</v>
      </c>
      <c r="G122" s="192" t="s">
        <v>2989</v>
      </c>
      <c r="H122" s="192" t="s">
        <v>2989</v>
      </c>
      <c r="I122" s="247" t="s">
        <v>2989</v>
      </c>
      <c r="J122" s="247"/>
      <c r="K122" s="192" t="s">
        <v>2989</v>
      </c>
      <c r="L122" s="192"/>
      <c r="M122" s="1184" t="s">
        <v>2989</v>
      </c>
    </row>
    <row r="123" spans="1:13" s="190" customFormat="1" ht="13.5" customHeight="1">
      <c r="C123" s="191" t="s">
        <v>2989</v>
      </c>
      <c r="D123" s="192"/>
      <c r="E123" s="192" t="s">
        <v>2989</v>
      </c>
      <c r="F123" s="192" t="s">
        <v>2989</v>
      </c>
      <c r="G123" s="192" t="s">
        <v>2989</v>
      </c>
      <c r="H123" s="192" t="s">
        <v>2989</v>
      </c>
      <c r="I123" s="247" t="s">
        <v>2989</v>
      </c>
      <c r="J123" s="247"/>
      <c r="K123" s="192" t="s">
        <v>2989</v>
      </c>
      <c r="L123" s="192"/>
      <c r="M123" s="1184" t="s">
        <v>2989</v>
      </c>
    </row>
    <row r="124" spans="1:13" s="190" customFormat="1" ht="13.5" customHeight="1">
      <c r="C124" s="191" t="s">
        <v>2989</v>
      </c>
      <c r="D124" s="192"/>
      <c r="E124" s="192" t="s">
        <v>2989</v>
      </c>
      <c r="F124" s="192" t="s">
        <v>2989</v>
      </c>
      <c r="G124" s="192" t="s">
        <v>2989</v>
      </c>
      <c r="H124" s="192" t="s">
        <v>2989</v>
      </c>
      <c r="I124" s="247" t="s">
        <v>2989</v>
      </c>
      <c r="J124" s="247"/>
      <c r="K124" s="192" t="s">
        <v>2989</v>
      </c>
      <c r="L124" s="192"/>
      <c r="M124" s="1184" t="s">
        <v>2989</v>
      </c>
    </row>
    <row r="125" spans="1:13" s="190" customFormat="1" ht="13.5" customHeight="1">
      <c r="C125" s="191" t="s">
        <v>2989</v>
      </c>
      <c r="D125" s="192"/>
      <c r="E125" s="192" t="s">
        <v>2989</v>
      </c>
      <c r="F125" s="192" t="s">
        <v>2989</v>
      </c>
      <c r="G125" s="192" t="s">
        <v>2989</v>
      </c>
      <c r="H125" s="192" t="s">
        <v>2989</v>
      </c>
      <c r="I125" s="247" t="s">
        <v>2989</v>
      </c>
      <c r="J125" s="247"/>
      <c r="K125" s="192" t="s">
        <v>2989</v>
      </c>
      <c r="L125" s="192"/>
      <c r="M125" s="1184" t="s">
        <v>2989</v>
      </c>
    </row>
    <row r="126" spans="1:13" s="190" customFormat="1" ht="13.5" customHeight="1">
      <c r="C126" s="191" t="s">
        <v>2989</v>
      </c>
      <c r="D126" s="192"/>
      <c r="E126" s="192" t="s">
        <v>2989</v>
      </c>
      <c r="F126" s="192" t="s">
        <v>2989</v>
      </c>
      <c r="G126" s="192" t="s">
        <v>2989</v>
      </c>
      <c r="H126" s="192" t="s">
        <v>2989</v>
      </c>
      <c r="I126" s="247" t="s">
        <v>2989</v>
      </c>
      <c r="J126" s="247"/>
      <c r="K126" s="192" t="s">
        <v>2989</v>
      </c>
      <c r="L126" s="192"/>
      <c r="M126" s="1184" t="s">
        <v>2989</v>
      </c>
    </row>
    <row r="127" spans="1:13" s="190" customFormat="1" ht="13.5" customHeight="1">
      <c r="C127" s="191" t="s">
        <v>2989</v>
      </c>
      <c r="D127" s="192"/>
      <c r="E127" s="192" t="s">
        <v>2989</v>
      </c>
      <c r="F127" s="192" t="s">
        <v>2989</v>
      </c>
      <c r="G127" s="192" t="s">
        <v>2989</v>
      </c>
      <c r="H127" s="192" t="s">
        <v>2989</v>
      </c>
      <c r="I127" s="247" t="s">
        <v>2989</v>
      </c>
      <c r="J127" s="247"/>
      <c r="K127" s="192" t="s">
        <v>2989</v>
      </c>
      <c r="L127" s="192"/>
      <c r="M127" s="1184" t="s">
        <v>2989</v>
      </c>
    </row>
    <row r="128" spans="1:13" s="190" customFormat="1" ht="13.5" customHeight="1">
      <c r="C128" s="191" t="s">
        <v>2989</v>
      </c>
      <c r="D128" s="192"/>
      <c r="E128" s="192" t="s">
        <v>2989</v>
      </c>
      <c r="F128" s="192" t="s">
        <v>2989</v>
      </c>
      <c r="G128" s="192" t="s">
        <v>2989</v>
      </c>
      <c r="H128" s="192" t="s">
        <v>2989</v>
      </c>
      <c r="I128" s="247" t="s">
        <v>2989</v>
      </c>
      <c r="J128" s="247"/>
      <c r="K128" s="192" t="s">
        <v>2989</v>
      </c>
      <c r="L128" s="192"/>
      <c r="M128" s="1184" t="s">
        <v>2989</v>
      </c>
    </row>
  </sheetData>
  <customSheetViews>
    <customSheetView guid="{54A7C567-FA7D-467E-B353-ECB5E61AE756}" hiddenRows="1" hiddenColumns="1" state="hidden">
      <selection activeCell="I30" sqref="I30"/>
      <pageMargins left="0" right="0" top="0" bottom="0" header="0" footer="0"/>
      <pageSetup paperSize="9" orientation="portrait" r:id="rId1"/>
    </customSheetView>
  </customSheetViews>
  <mergeCells count="7">
    <mergeCell ref="A119:M119"/>
    <mergeCell ref="C2:F2"/>
    <mergeCell ref="C4:C6"/>
    <mergeCell ref="D4:E4"/>
    <mergeCell ref="G4:J4"/>
    <mergeCell ref="M4:M6"/>
    <mergeCell ref="A5:A6"/>
  </mergeCells>
  <conditionalFormatting sqref="F9:K118">
    <cfRule type="cellIs" dxfId="83" priority="1" operator="equal">
      <formula>0</formula>
    </cfRule>
    <cfRule type="cellIs" dxfId="82" priority="2" operator="greaterThan">
      <formula>100</formula>
    </cfRule>
    <cfRule type="cellIs" dxfId="81" priority="3" operator="between">
      <formula>10</formula>
      <formula>100</formula>
    </cfRule>
    <cfRule type="cellIs" dxfId="80" priority="4" operator="between">
      <formula>1</formula>
      <formula>10</formula>
    </cfRule>
    <cfRule type="cellIs" dxfId="79" priority="5" operator="lessThan">
      <formula>1</formula>
    </cfRule>
  </conditionalFormatting>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0">
    <tabColor theme="5" tint="0.59999389629810485"/>
    <outlinePr summaryRight="0"/>
    <pageSetUpPr autoPageBreaks="0" fitToPage="1"/>
  </sheetPr>
  <dimension ref="A1:AA126"/>
  <sheetViews>
    <sheetView workbookViewId="0"/>
  </sheetViews>
  <sheetFormatPr baseColWidth="10" defaultColWidth="10" defaultRowHeight="12.75" outlineLevelRow="1" outlineLevelCol="1"/>
  <cols>
    <col min="1" max="1" width="9.375" style="248" customWidth="1" collapsed="1"/>
    <col min="2" max="2" width="36.625" style="248" hidden="1" customWidth="1" outlineLevel="1"/>
    <col min="3" max="3" width="50.875" style="249" customWidth="1" collapsed="1"/>
    <col min="4" max="4" width="10" style="248" hidden="1" customWidth="1" outlineLevel="1"/>
    <col min="5" max="5" width="55.625" style="249" hidden="1" customWidth="1" outlineLevel="1"/>
    <col min="6" max="6" width="11.125" style="250" customWidth="1"/>
    <col min="7" max="7" width="6.25" style="740" customWidth="1"/>
    <col min="8" max="10" width="9.375" style="741" customWidth="1"/>
    <col min="11" max="13" width="9.375" style="741" customWidth="1" outlineLevel="1"/>
    <col min="14" max="19" width="9.375" style="741" customWidth="1"/>
    <col min="20" max="22" width="9.375" style="742" customWidth="1"/>
    <col min="23" max="23" width="13.25" style="250" bestFit="1" customWidth="1"/>
    <col min="24" max="24" width="59.875" style="743" bestFit="1" customWidth="1" collapsed="1"/>
    <col min="25" max="25" width="55.625" style="249" hidden="1" customWidth="1" outlineLevel="1"/>
    <col min="26" max="26" width="39" style="248" customWidth="1"/>
    <col min="27" max="27" width="26.125" style="248" customWidth="1"/>
    <col min="28" max="16384" width="10" style="248"/>
  </cols>
  <sheetData>
    <row r="1" spans="1:27" s="1222" customFormat="1" ht="20.25">
      <c r="A1" s="703"/>
      <c r="B1" s="704"/>
      <c r="C1" s="705" t="s">
        <v>961</v>
      </c>
      <c r="D1" s="704"/>
      <c r="E1" s="706"/>
      <c r="F1" s="707"/>
      <c r="G1" s="707"/>
      <c r="H1" s="708"/>
      <c r="I1" s="709"/>
      <c r="J1" s="709"/>
      <c r="K1" s="708"/>
      <c r="L1" s="709"/>
      <c r="M1" s="709"/>
      <c r="N1" s="708" t="s">
        <v>3874</v>
      </c>
      <c r="O1" s="709"/>
      <c r="P1" s="709"/>
      <c r="Q1" s="709"/>
      <c r="R1" s="709"/>
      <c r="S1" s="709"/>
      <c r="T1" s="710"/>
      <c r="U1" s="710"/>
      <c r="V1" s="710"/>
      <c r="W1" s="707"/>
      <c r="X1" s="711" t="s">
        <v>2609</v>
      </c>
      <c r="Y1" s="706"/>
    </row>
    <row r="2" spans="1:27" s="1226" customFormat="1" ht="15.75">
      <c r="A2" s="712"/>
      <c r="B2" s="713"/>
      <c r="C2" s="2039"/>
      <c r="D2" s="2040"/>
      <c r="E2" s="2040"/>
      <c r="F2" s="2040"/>
      <c r="G2" s="2040"/>
      <c r="H2" s="2040"/>
      <c r="I2" s="1223"/>
      <c r="J2" s="1223"/>
      <c r="K2" s="1223"/>
      <c r="L2" s="1223"/>
      <c r="M2" s="1224"/>
      <c r="N2" s="1223"/>
      <c r="O2" s="1223"/>
      <c r="P2" s="1224"/>
      <c r="Q2" s="1224"/>
      <c r="R2" s="1223"/>
      <c r="S2" s="1223"/>
      <c r="T2" s="1225"/>
      <c r="U2" s="1225"/>
      <c r="V2" s="1225"/>
      <c r="W2" s="713"/>
      <c r="X2" s="714"/>
      <c r="Y2" s="714"/>
    </row>
    <row r="3" spans="1:27" s="14" customFormat="1" ht="12.75" customHeight="1" outlineLevel="1">
      <c r="A3" s="12"/>
      <c r="C3" s="13"/>
      <c r="D3" s="1179"/>
      <c r="E3" s="1180"/>
      <c r="F3" s="1180"/>
      <c r="H3" s="15"/>
      <c r="I3" s="14" t="s">
        <v>1007</v>
      </c>
      <c r="J3" s="14" t="s">
        <v>1007</v>
      </c>
      <c r="L3" s="14" t="s">
        <v>2610</v>
      </c>
      <c r="M3" s="14" t="s">
        <v>2610</v>
      </c>
      <c r="O3" s="14" t="s">
        <v>2611</v>
      </c>
      <c r="P3" s="14" t="s">
        <v>2611</v>
      </c>
      <c r="R3" s="14" t="s">
        <v>2612</v>
      </c>
      <c r="S3" s="16" t="s">
        <v>2612</v>
      </c>
      <c r="U3" s="14" t="s">
        <v>2613</v>
      </c>
      <c r="V3" s="14" t="s">
        <v>2613</v>
      </c>
      <c r="W3" s="683"/>
      <c r="Y3" s="1180"/>
    </row>
    <row r="4" spans="1:27" ht="39" customHeight="1">
      <c r="A4" s="115" t="s">
        <v>970</v>
      </c>
      <c r="B4" s="17" t="s">
        <v>971</v>
      </c>
      <c r="C4" s="2018" t="s">
        <v>2614</v>
      </c>
      <c r="D4" s="115" t="s">
        <v>973</v>
      </c>
      <c r="E4" s="1987" t="s">
        <v>974</v>
      </c>
      <c r="F4" s="2032" t="s">
        <v>976</v>
      </c>
      <c r="G4" s="2033"/>
      <c r="H4" s="2034" t="s">
        <v>977</v>
      </c>
      <c r="I4" s="2035"/>
      <c r="J4" s="2036"/>
      <c r="K4" s="2061" t="s">
        <v>978</v>
      </c>
      <c r="L4" s="2061"/>
      <c r="M4" s="2061"/>
      <c r="N4" s="2061"/>
      <c r="O4" s="2061"/>
      <c r="P4" s="2061"/>
      <c r="Q4" s="2061"/>
      <c r="R4" s="2061"/>
      <c r="S4" s="2061"/>
      <c r="T4" s="2045" t="s">
        <v>979</v>
      </c>
      <c r="U4" s="2046"/>
      <c r="V4" s="2047"/>
      <c r="W4" s="195" t="s">
        <v>504</v>
      </c>
      <c r="X4" s="2025" t="s">
        <v>2615</v>
      </c>
      <c r="Y4" s="1987" t="s">
        <v>3713</v>
      </c>
    </row>
    <row r="5" spans="1:27" ht="12.75" customHeight="1">
      <c r="A5" s="2037" t="s">
        <v>983</v>
      </c>
      <c r="B5" s="1342"/>
      <c r="C5" s="2026"/>
      <c r="D5" s="2037" t="s">
        <v>984</v>
      </c>
      <c r="E5" s="2031"/>
      <c r="F5" s="715"/>
      <c r="G5" s="194"/>
      <c r="H5" s="2049" t="s">
        <v>1007</v>
      </c>
      <c r="I5" s="2050"/>
      <c r="J5" s="2051"/>
      <c r="K5" s="2055" t="s">
        <v>986</v>
      </c>
      <c r="L5" s="2055"/>
      <c r="M5" s="2055"/>
      <c r="N5" s="2056" t="s">
        <v>987</v>
      </c>
      <c r="O5" s="2056"/>
      <c r="P5" s="2056"/>
      <c r="Q5" s="2056" t="s">
        <v>2616</v>
      </c>
      <c r="R5" s="2056"/>
      <c r="S5" s="2056"/>
      <c r="T5" s="2057" t="s">
        <v>989</v>
      </c>
      <c r="U5" s="2058"/>
      <c r="V5" s="2059"/>
      <c r="W5" s="716"/>
      <c r="X5" s="2048"/>
      <c r="Y5" s="2031"/>
    </row>
    <row r="6" spans="1:27" ht="12.75" customHeight="1">
      <c r="A6" s="2038"/>
      <c r="B6" s="1343"/>
      <c r="C6" s="2026"/>
      <c r="D6" s="2038"/>
      <c r="E6" s="2031"/>
      <c r="F6" s="198" t="s">
        <v>2617</v>
      </c>
      <c r="G6" s="198"/>
      <c r="H6" s="2052"/>
      <c r="I6" s="2053"/>
      <c r="J6" s="2054"/>
      <c r="K6" s="2060" t="s">
        <v>991</v>
      </c>
      <c r="L6" s="2060"/>
      <c r="M6" s="2060"/>
      <c r="N6" s="2062" t="s">
        <v>992</v>
      </c>
      <c r="O6" s="2062"/>
      <c r="P6" s="2062"/>
      <c r="Q6" s="2062" t="s">
        <v>2618</v>
      </c>
      <c r="R6" s="2062"/>
      <c r="S6" s="2062"/>
      <c r="T6" s="2041" t="s">
        <v>994</v>
      </c>
      <c r="U6" s="2042"/>
      <c r="V6" s="2043"/>
      <c r="W6" s="717" t="s">
        <v>2619</v>
      </c>
      <c r="X6" s="2048"/>
      <c r="Y6" s="2031"/>
    </row>
    <row r="7" spans="1:27" s="190" customFormat="1" ht="22.5" customHeight="1">
      <c r="A7" s="18"/>
      <c r="B7" s="18"/>
      <c r="C7" s="718" t="s">
        <v>199</v>
      </c>
      <c r="D7" s="18"/>
      <c r="E7" s="116" t="s">
        <v>199</v>
      </c>
      <c r="F7" s="1344"/>
      <c r="G7" s="198"/>
      <c r="H7" s="719" t="s">
        <v>265</v>
      </c>
      <c r="I7" s="720" t="s">
        <v>996</v>
      </c>
      <c r="J7" s="720" t="s">
        <v>974</v>
      </c>
      <c r="K7" s="721" t="s">
        <v>265</v>
      </c>
      <c r="L7" s="722" t="s">
        <v>996</v>
      </c>
      <c r="M7" s="722" t="s">
        <v>974</v>
      </c>
      <c r="N7" s="721" t="s">
        <v>265</v>
      </c>
      <c r="O7" s="722" t="s">
        <v>996</v>
      </c>
      <c r="P7" s="722" t="s">
        <v>974</v>
      </c>
      <c r="Q7" s="721" t="s">
        <v>265</v>
      </c>
      <c r="R7" s="722" t="s">
        <v>996</v>
      </c>
      <c r="S7" s="722" t="s">
        <v>974</v>
      </c>
      <c r="T7" s="723" t="s">
        <v>265</v>
      </c>
      <c r="U7" s="724" t="s">
        <v>996</v>
      </c>
      <c r="V7" s="724" t="s">
        <v>974</v>
      </c>
      <c r="W7" s="725"/>
      <c r="X7" s="726"/>
      <c r="Y7" s="116" t="s">
        <v>1003</v>
      </c>
    </row>
    <row r="8" spans="1:27" s="210" customFormat="1" ht="22.5" customHeight="1">
      <c r="A8" s="23"/>
      <c r="B8" s="23"/>
      <c r="C8" s="718"/>
      <c r="D8" s="23"/>
      <c r="E8" s="116"/>
      <c r="F8" s="198"/>
      <c r="G8" s="200"/>
      <c r="H8" s="727" t="s">
        <v>265</v>
      </c>
      <c r="I8" s="728" t="s">
        <v>1004</v>
      </c>
      <c r="J8" s="728" t="s">
        <v>982</v>
      </c>
      <c r="K8" s="729" t="s">
        <v>265</v>
      </c>
      <c r="L8" s="730" t="s">
        <v>1004</v>
      </c>
      <c r="M8" s="730" t="s">
        <v>982</v>
      </c>
      <c r="N8" s="729" t="s">
        <v>265</v>
      </c>
      <c r="O8" s="730" t="s">
        <v>1004</v>
      </c>
      <c r="P8" s="730" t="s">
        <v>982</v>
      </c>
      <c r="Q8" s="729" t="s">
        <v>265</v>
      </c>
      <c r="R8" s="730" t="s">
        <v>1004</v>
      </c>
      <c r="S8" s="730" t="s">
        <v>982</v>
      </c>
      <c r="T8" s="731" t="s">
        <v>265</v>
      </c>
      <c r="U8" s="732" t="s">
        <v>1004</v>
      </c>
      <c r="V8" s="732" t="s">
        <v>982</v>
      </c>
      <c r="W8" s="725"/>
      <c r="X8" s="726"/>
      <c r="Y8" s="116"/>
      <c r="Z8" s="190"/>
      <c r="AA8" s="190"/>
    </row>
    <row r="9" spans="1:27" s="210" customFormat="1" ht="24">
      <c r="A9" s="26"/>
      <c r="B9" s="26"/>
      <c r="C9" s="733"/>
      <c r="D9" s="26"/>
      <c r="E9" s="117"/>
      <c r="F9" s="734"/>
      <c r="G9" s="735" t="s">
        <v>2620</v>
      </c>
      <c r="H9" s="736" t="s">
        <v>1007</v>
      </c>
      <c r="I9" s="736" t="s">
        <v>1007</v>
      </c>
      <c r="J9" s="736" t="s">
        <v>1007</v>
      </c>
      <c r="K9" s="206" t="s">
        <v>1008</v>
      </c>
      <c r="L9" s="206" t="s">
        <v>1008</v>
      </c>
      <c r="M9" s="206" t="s">
        <v>1008</v>
      </c>
      <c r="N9" s="206" t="s">
        <v>1008</v>
      </c>
      <c r="O9" s="206" t="s">
        <v>1008</v>
      </c>
      <c r="P9" s="206" t="s">
        <v>1008</v>
      </c>
      <c r="Q9" s="206" t="s">
        <v>1008</v>
      </c>
      <c r="R9" s="206" t="s">
        <v>1008</v>
      </c>
      <c r="S9" s="206" t="s">
        <v>1008</v>
      </c>
      <c r="T9" s="207" t="s">
        <v>1009</v>
      </c>
      <c r="U9" s="207" t="s">
        <v>1009</v>
      </c>
      <c r="V9" s="207" t="s">
        <v>1009</v>
      </c>
      <c r="W9" s="737"/>
      <c r="X9" s="209"/>
      <c r="Y9" s="117"/>
      <c r="Z9" s="248"/>
      <c r="AA9" s="248"/>
    </row>
    <row r="10" spans="1:27" s="190" customFormat="1">
      <c r="A10" s="118" t="s">
        <v>2621</v>
      </c>
      <c r="B10" s="118"/>
      <c r="C10" s="414" t="s">
        <v>2622</v>
      </c>
      <c r="D10" s="119"/>
      <c r="E10" s="120"/>
      <c r="F10" s="415"/>
      <c r="G10" s="415"/>
      <c r="H10" s="416"/>
      <c r="I10" s="416"/>
      <c r="J10" s="416"/>
      <c r="K10" s="416"/>
      <c r="L10" s="1347"/>
      <c r="M10" s="1347"/>
      <c r="N10" s="416"/>
      <c r="O10" s="1347"/>
      <c r="P10" s="1347"/>
      <c r="Q10" s="2044"/>
      <c r="R10" s="2044"/>
      <c r="S10" s="2044"/>
      <c r="T10" s="417"/>
      <c r="U10" s="417"/>
      <c r="V10" s="417"/>
      <c r="W10" s="415"/>
      <c r="X10" s="414" t="s">
        <v>2623</v>
      </c>
      <c r="Y10" s="41"/>
      <c r="Z10" s="248"/>
      <c r="AA10" s="248"/>
    </row>
    <row r="11" spans="1:27" s="190" customFormat="1" ht="14.25">
      <c r="A11" s="121" t="s">
        <v>922</v>
      </c>
      <c r="B11" s="217" t="s">
        <v>2624</v>
      </c>
      <c r="C11" s="418" t="s">
        <v>2625</v>
      </c>
      <c r="D11" s="121" t="s">
        <v>2626</v>
      </c>
      <c r="E11" s="122" t="s">
        <v>2627</v>
      </c>
      <c r="F11" s="222" t="s">
        <v>2628</v>
      </c>
      <c r="G11" s="123" t="s">
        <v>1019</v>
      </c>
      <c r="H11" s="419">
        <v>1810</v>
      </c>
      <c r="I11" s="420">
        <v>1770</v>
      </c>
      <c r="J11" s="420">
        <v>36.5</v>
      </c>
      <c r="K11" s="421">
        <v>3.47</v>
      </c>
      <c r="L11" s="422">
        <v>3.46</v>
      </c>
      <c r="M11" s="422">
        <v>7.2399999999999999E-3</v>
      </c>
      <c r="N11" s="421">
        <v>0.30099999999999999</v>
      </c>
      <c r="O11" s="422">
        <v>0.30099999999999999</v>
      </c>
      <c r="P11" s="422">
        <v>3.0200000000000002E-4</v>
      </c>
      <c r="Q11" s="421">
        <v>3.17</v>
      </c>
      <c r="R11" s="422">
        <v>3.16</v>
      </c>
      <c r="S11" s="422">
        <v>6.9300000000000004E-3</v>
      </c>
      <c r="T11" s="421">
        <v>0.85799999999999998</v>
      </c>
      <c r="U11" s="422">
        <v>0.84899999999999998</v>
      </c>
      <c r="V11" s="422">
        <v>9.6100000000000005E-3</v>
      </c>
      <c r="W11" s="423" t="s">
        <v>251</v>
      </c>
      <c r="X11" s="418" t="s">
        <v>2629</v>
      </c>
      <c r="Y11" s="45" t="s">
        <v>2630</v>
      </c>
      <c r="Z11" s="248"/>
      <c r="AA11" s="248"/>
    </row>
    <row r="12" spans="1:27" s="190" customFormat="1" ht="14.25">
      <c r="A12" s="121" t="s">
        <v>925</v>
      </c>
      <c r="B12" s="217" t="s">
        <v>2631</v>
      </c>
      <c r="C12" s="240" t="s">
        <v>2632</v>
      </c>
      <c r="D12" s="121" t="s">
        <v>2633</v>
      </c>
      <c r="E12" s="122" t="s">
        <v>2634</v>
      </c>
      <c r="F12" s="222" t="s">
        <v>2628</v>
      </c>
      <c r="G12" s="123" t="s">
        <v>1019</v>
      </c>
      <c r="H12" s="419">
        <v>5420</v>
      </c>
      <c r="I12" s="420">
        <v>5310</v>
      </c>
      <c r="J12" s="420">
        <v>110</v>
      </c>
      <c r="K12" s="421">
        <v>10.4</v>
      </c>
      <c r="L12" s="422">
        <v>10.4</v>
      </c>
      <c r="M12" s="422">
        <v>2.1700000000000001E-2</v>
      </c>
      <c r="N12" s="421">
        <v>0.90300000000000002</v>
      </c>
      <c r="O12" s="422">
        <v>0.90200000000000002</v>
      </c>
      <c r="P12" s="422">
        <v>9.0700000000000004E-4</v>
      </c>
      <c r="Q12" s="421">
        <v>9.5</v>
      </c>
      <c r="R12" s="422">
        <v>9.48</v>
      </c>
      <c r="S12" s="422">
        <v>2.0799999999999999E-2</v>
      </c>
      <c r="T12" s="421">
        <v>2.58</v>
      </c>
      <c r="U12" s="422">
        <v>2.5499999999999998</v>
      </c>
      <c r="V12" s="422">
        <v>2.8799999999999999E-2</v>
      </c>
      <c r="W12" s="222" t="s">
        <v>251</v>
      </c>
      <c r="X12" s="240" t="s">
        <v>2635</v>
      </c>
      <c r="Y12" s="45" t="s">
        <v>2636</v>
      </c>
      <c r="Z12" s="248"/>
      <c r="AA12" s="248"/>
    </row>
    <row r="13" spans="1:27" s="190" customFormat="1" ht="14.25">
      <c r="A13" s="121" t="s">
        <v>928</v>
      </c>
      <c r="B13" s="217" t="s">
        <v>2637</v>
      </c>
      <c r="C13" s="240" t="s">
        <v>2638</v>
      </c>
      <c r="D13" s="121" t="s">
        <v>2639</v>
      </c>
      <c r="E13" s="122" t="s">
        <v>2640</v>
      </c>
      <c r="F13" s="222" t="s">
        <v>2628</v>
      </c>
      <c r="G13" s="123" t="s">
        <v>1019</v>
      </c>
      <c r="H13" s="419">
        <v>9030</v>
      </c>
      <c r="I13" s="420">
        <v>8850</v>
      </c>
      <c r="J13" s="420">
        <v>183</v>
      </c>
      <c r="K13" s="421">
        <v>17.3</v>
      </c>
      <c r="L13" s="422">
        <v>17.3</v>
      </c>
      <c r="M13" s="422">
        <v>3.6200000000000003E-2</v>
      </c>
      <c r="N13" s="421">
        <v>1.5</v>
      </c>
      <c r="O13" s="422">
        <v>1.5</v>
      </c>
      <c r="P13" s="422">
        <v>1.5100000000000001E-3</v>
      </c>
      <c r="Q13" s="421">
        <v>15.8</v>
      </c>
      <c r="R13" s="422">
        <v>15.8</v>
      </c>
      <c r="S13" s="422">
        <v>3.4599999999999999E-2</v>
      </c>
      <c r="T13" s="421">
        <v>4.29</v>
      </c>
      <c r="U13" s="422">
        <v>4.24</v>
      </c>
      <c r="V13" s="422">
        <v>4.8000000000000001E-2</v>
      </c>
      <c r="W13" s="222" t="s">
        <v>251</v>
      </c>
      <c r="X13" s="240" t="s">
        <v>2641</v>
      </c>
      <c r="Y13" s="45" t="s">
        <v>2642</v>
      </c>
      <c r="Z13" s="248"/>
      <c r="AA13" s="248"/>
    </row>
    <row r="14" spans="1:27" s="235" customFormat="1">
      <c r="A14" s="226" t="s">
        <v>2643</v>
      </c>
      <c r="B14" s="217" t="s">
        <v>2644</v>
      </c>
      <c r="C14" s="424" t="s">
        <v>2645</v>
      </c>
      <c r="D14" s="226" t="s">
        <v>2646</v>
      </c>
      <c r="E14" s="425" t="s">
        <v>2647</v>
      </c>
      <c r="F14" s="232" t="s">
        <v>2648</v>
      </c>
      <c r="G14" s="426" t="s">
        <v>268</v>
      </c>
      <c r="H14" s="427">
        <v>7070</v>
      </c>
      <c r="I14" s="428">
        <v>6720</v>
      </c>
      <c r="J14" s="428">
        <v>348</v>
      </c>
      <c r="K14" s="429">
        <v>11.6</v>
      </c>
      <c r="L14" s="430">
        <v>11.4</v>
      </c>
      <c r="M14" s="430">
        <v>0.20899999999999999</v>
      </c>
      <c r="N14" s="429">
        <v>0.99099999999999999</v>
      </c>
      <c r="O14" s="430">
        <v>0.97199999999999998</v>
      </c>
      <c r="P14" s="430">
        <v>1.8700000000000001E-2</v>
      </c>
      <c r="Q14" s="429">
        <v>10.6</v>
      </c>
      <c r="R14" s="430">
        <v>10.5</v>
      </c>
      <c r="S14" s="430">
        <v>0.19</v>
      </c>
      <c r="T14" s="429">
        <v>2.88</v>
      </c>
      <c r="U14" s="430">
        <v>2.58</v>
      </c>
      <c r="V14" s="430">
        <v>0.29599999999999999</v>
      </c>
      <c r="W14" s="232" t="s">
        <v>2649</v>
      </c>
      <c r="X14" s="424" t="s">
        <v>2650</v>
      </c>
      <c r="Y14" s="30" t="s">
        <v>2651</v>
      </c>
      <c r="Z14" s="431"/>
      <c r="AA14" s="431"/>
    </row>
    <row r="15" spans="1:27" s="190" customFormat="1" ht="14.25">
      <c r="A15" s="121" t="s">
        <v>931</v>
      </c>
      <c r="B15" s="217" t="s">
        <v>2652</v>
      </c>
      <c r="C15" s="240" t="s">
        <v>2653</v>
      </c>
      <c r="D15" s="121" t="s">
        <v>2654</v>
      </c>
      <c r="E15" s="122" t="s">
        <v>2655</v>
      </c>
      <c r="F15" s="222" t="s">
        <v>2628</v>
      </c>
      <c r="G15" s="123" t="s">
        <v>1019</v>
      </c>
      <c r="H15" s="419">
        <v>7040</v>
      </c>
      <c r="I15" s="420">
        <v>5630</v>
      </c>
      <c r="J15" s="420">
        <v>1410</v>
      </c>
      <c r="K15" s="421">
        <v>14.8</v>
      </c>
      <c r="L15" s="422">
        <v>12.3</v>
      </c>
      <c r="M15" s="422">
        <v>2.5099999999999998</v>
      </c>
      <c r="N15" s="421">
        <v>1.56</v>
      </c>
      <c r="O15" s="422">
        <v>1.19</v>
      </c>
      <c r="P15" s="422">
        <v>0.36899999999999999</v>
      </c>
      <c r="Q15" s="421">
        <v>13.2</v>
      </c>
      <c r="R15" s="422">
        <v>11.1</v>
      </c>
      <c r="S15" s="422">
        <v>2.14</v>
      </c>
      <c r="T15" s="421">
        <v>3.46</v>
      </c>
      <c r="U15" s="422">
        <v>2.77</v>
      </c>
      <c r="V15" s="422">
        <v>0.69499999999999995</v>
      </c>
      <c r="W15" s="222" t="s">
        <v>251</v>
      </c>
      <c r="X15" s="240" t="s">
        <v>2656</v>
      </c>
      <c r="Y15" s="45" t="s">
        <v>2657</v>
      </c>
      <c r="Z15" s="248"/>
      <c r="AA15" s="248"/>
    </row>
    <row r="16" spans="1:27" s="190" customFormat="1" ht="14.25">
      <c r="A16" s="121" t="s">
        <v>935</v>
      </c>
      <c r="B16" s="217" t="s">
        <v>2658</v>
      </c>
      <c r="C16" s="240" t="s">
        <v>2659</v>
      </c>
      <c r="D16" s="121" t="s">
        <v>2660</v>
      </c>
      <c r="E16" s="122" t="s">
        <v>2661</v>
      </c>
      <c r="F16" s="222" t="s">
        <v>2628</v>
      </c>
      <c r="G16" s="123" t="s">
        <v>1019</v>
      </c>
      <c r="H16" s="419">
        <v>18100</v>
      </c>
      <c r="I16" s="420">
        <v>16100</v>
      </c>
      <c r="J16" s="420">
        <v>2020</v>
      </c>
      <c r="K16" s="421">
        <v>32.700000000000003</v>
      </c>
      <c r="L16" s="422">
        <v>29.7</v>
      </c>
      <c r="M16" s="422">
        <v>3</v>
      </c>
      <c r="N16" s="421">
        <v>2.82</v>
      </c>
      <c r="O16" s="422">
        <v>2.38</v>
      </c>
      <c r="P16" s="422">
        <v>0.433</v>
      </c>
      <c r="Q16" s="421">
        <v>29.9</v>
      </c>
      <c r="R16" s="422">
        <v>27.3</v>
      </c>
      <c r="S16" s="422">
        <v>2.57</v>
      </c>
      <c r="T16" s="421">
        <v>9.15</v>
      </c>
      <c r="U16" s="422">
        <v>8.06</v>
      </c>
      <c r="V16" s="422">
        <v>1.08</v>
      </c>
      <c r="W16" s="222" t="s">
        <v>251</v>
      </c>
      <c r="X16" s="240" t="s">
        <v>2662</v>
      </c>
      <c r="Y16" s="45" t="s">
        <v>2663</v>
      </c>
      <c r="Z16" s="248"/>
      <c r="AA16" s="248"/>
    </row>
    <row r="17" spans="1:27" s="190" customFormat="1" ht="14.25">
      <c r="A17" s="121" t="s">
        <v>936</v>
      </c>
      <c r="B17" s="217" t="s">
        <v>2664</v>
      </c>
      <c r="C17" s="240" t="s">
        <v>2665</v>
      </c>
      <c r="D17" s="121" t="s">
        <v>2666</v>
      </c>
      <c r="E17" s="122" t="s">
        <v>2667</v>
      </c>
      <c r="F17" s="222" t="s">
        <v>2628</v>
      </c>
      <c r="G17" s="123" t="s">
        <v>1019</v>
      </c>
      <c r="H17" s="419">
        <v>12800</v>
      </c>
      <c r="I17" s="420">
        <v>12100</v>
      </c>
      <c r="J17" s="420">
        <v>700</v>
      </c>
      <c r="K17" s="421">
        <v>22.8</v>
      </c>
      <c r="L17" s="422">
        <v>22.7</v>
      </c>
      <c r="M17" s="422">
        <v>2.98E-2</v>
      </c>
      <c r="N17" s="421">
        <v>1.71</v>
      </c>
      <c r="O17" s="422">
        <v>1.71</v>
      </c>
      <c r="P17" s="422">
        <v>2.7100000000000002E-3</v>
      </c>
      <c r="Q17" s="421">
        <v>21.1</v>
      </c>
      <c r="R17" s="422">
        <v>21</v>
      </c>
      <c r="S17" s="422">
        <v>2.7099999999999999E-2</v>
      </c>
      <c r="T17" s="421">
        <v>6.51</v>
      </c>
      <c r="U17" s="422">
        <v>6.48</v>
      </c>
      <c r="V17" s="422">
        <v>2.1999999999999999E-2</v>
      </c>
      <c r="W17" s="222" t="s">
        <v>251</v>
      </c>
      <c r="X17" s="240" t="s">
        <v>2668</v>
      </c>
      <c r="Y17" s="45" t="s">
        <v>2669</v>
      </c>
      <c r="Z17" s="248"/>
      <c r="AA17" s="248"/>
    </row>
    <row r="18" spans="1:27" s="190" customFormat="1" ht="14.25">
      <c r="A18" s="121" t="s">
        <v>932</v>
      </c>
      <c r="B18" s="217" t="s">
        <v>2670</v>
      </c>
      <c r="C18" s="240" t="s">
        <v>2671</v>
      </c>
      <c r="D18" s="121" t="s">
        <v>2672</v>
      </c>
      <c r="E18" s="122" t="s">
        <v>2673</v>
      </c>
      <c r="F18" s="222" t="s">
        <v>2628</v>
      </c>
      <c r="G18" s="123" t="s">
        <v>1019</v>
      </c>
      <c r="H18" s="419">
        <v>7380</v>
      </c>
      <c r="I18" s="420">
        <v>5300</v>
      </c>
      <c r="J18" s="420">
        <v>2090</v>
      </c>
      <c r="K18" s="421">
        <v>23.3</v>
      </c>
      <c r="L18" s="422">
        <v>23.2</v>
      </c>
      <c r="M18" s="422">
        <v>8.8200000000000001E-2</v>
      </c>
      <c r="N18" s="421">
        <v>1.45</v>
      </c>
      <c r="O18" s="422">
        <v>1.45</v>
      </c>
      <c r="P18" s="422">
        <v>2.15E-3</v>
      </c>
      <c r="Q18" s="421">
        <v>21.8</v>
      </c>
      <c r="R18" s="422">
        <v>21.8</v>
      </c>
      <c r="S18" s="422">
        <v>8.5999999999999993E-2</v>
      </c>
      <c r="T18" s="421">
        <v>5.05</v>
      </c>
      <c r="U18" s="422">
        <v>3.02</v>
      </c>
      <c r="V18" s="422">
        <v>2.04</v>
      </c>
      <c r="W18" s="222" t="s">
        <v>251</v>
      </c>
      <c r="X18" s="240" t="s">
        <v>2674</v>
      </c>
      <c r="Y18" s="45" t="s">
        <v>2675</v>
      </c>
      <c r="Z18" s="248"/>
      <c r="AA18" s="248"/>
    </row>
    <row r="19" spans="1:27" s="190" customFormat="1" ht="25.5">
      <c r="A19" s="121" t="s">
        <v>2676</v>
      </c>
      <c r="B19" s="217" t="s">
        <v>2677</v>
      </c>
      <c r="C19" s="240" t="s">
        <v>2678</v>
      </c>
      <c r="D19" s="121" t="s">
        <v>2679</v>
      </c>
      <c r="E19" s="122" t="s">
        <v>2680</v>
      </c>
      <c r="F19" s="222" t="s">
        <v>2628</v>
      </c>
      <c r="G19" s="123" t="s">
        <v>1019</v>
      </c>
      <c r="H19" s="419">
        <v>24300</v>
      </c>
      <c r="I19" s="420">
        <v>24200</v>
      </c>
      <c r="J19" s="420">
        <v>141</v>
      </c>
      <c r="K19" s="421">
        <v>29.4</v>
      </c>
      <c r="L19" s="422">
        <v>29.4</v>
      </c>
      <c r="M19" s="422">
        <v>2.87E-2</v>
      </c>
      <c r="N19" s="421">
        <v>4.43</v>
      </c>
      <c r="O19" s="422">
        <v>4.42</v>
      </c>
      <c r="P19" s="422">
        <v>2.31E-3</v>
      </c>
      <c r="Q19" s="421">
        <v>25</v>
      </c>
      <c r="R19" s="422">
        <v>24.9</v>
      </c>
      <c r="S19" s="422">
        <v>2.63E-2</v>
      </c>
      <c r="T19" s="421">
        <v>5.78</v>
      </c>
      <c r="U19" s="422">
        <v>5.65</v>
      </c>
      <c r="V19" s="422">
        <v>0.13400000000000001</v>
      </c>
      <c r="W19" s="222" t="s">
        <v>251</v>
      </c>
      <c r="X19" s="240" t="s">
        <v>2681</v>
      </c>
      <c r="Y19" s="45" t="s">
        <v>2682</v>
      </c>
      <c r="Z19" s="248"/>
      <c r="AA19" s="248"/>
    </row>
    <row r="20" spans="1:27" s="190" customFormat="1" ht="14.25">
      <c r="A20" s="121" t="s">
        <v>2683</v>
      </c>
      <c r="B20" s="217" t="s">
        <v>2684</v>
      </c>
      <c r="C20" s="240" t="s">
        <v>2685</v>
      </c>
      <c r="D20" s="121" t="s">
        <v>2686</v>
      </c>
      <c r="E20" s="122" t="s">
        <v>2687</v>
      </c>
      <c r="F20" s="222" t="s">
        <v>2628</v>
      </c>
      <c r="G20" s="123" t="s">
        <v>1019</v>
      </c>
      <c r="H20" s="419">
        <v>3870</v>
      </c>
      <c r="I20" s="420">
        <v>3260</v>
      </c>
      <c r="J20" s="420">
        <v>613</v>
      </c>
      <c r="K20" s="421">
        <v>7.55</v>
      </c>
      <c r="L20" s="422">
        <v>7.54</v>
      </c>
      <c r="M20" s="422">
        <v>3.6900000000000001E-3</v>
      </c>
      <c r="N20" s="421">
        <v>0.433</v>
      </c>
      <c r="O20" s="422">
        <v>0.433</v>
      </c>
      <c r="P20" s="422">
        <v>1.0399999999999999E-4</v>
      </c>
      <c r="Q20" s="421">
        <v>7.11</v>
      </c>
      <c r="R20" s="422">
        <v>7.11</v>
      </c>
      <c r="S20" s="422">
        <v>3.5899999999999999E-3</v>
      </c>
      <c r="T20" s="421">
        <v>1.83</v>
      </c>
      <c r="U20" s="422">
        <v>1.76</v>
      </c>
      <c r="V20" s="422">
        <v>6.6799999999999998E-2</v>
      </c>
      <c r="W20" s="222" t="s">
        <v>251</v>
      </c>
      <c r="X20" s="240" t="s">
        <v>2688</v>
      </c>
      <c r="Y20" s="45" t="s">
        <v>2689</v>
      </c>
      <c r="Z20" s="248"/>
      <c r="AA20" s="248"/>
    </row>
    <row r="21" spans="1:27" s="190" customFormat="1">
      <c r="A21" s="121" t="s">
        <v>937</v>
      </c>
      <c r="B21" s="217" t="s">
        <v>2690</v>
      </c>
      <c r="C21" s="240" t="s">
        <v>2691</v>
      </c>
      <c r="D21" s="121" t="s">
        <v>2692</v>
      </c>
      <c r="E21" s="122" t="s">
        <v>2693</v>
      </c>
      <c r="F21" s="222" t="s">
        <v>2694</v>
      </c>
      <c r="G21" s="123" t="s">
        <v>328</v>
      </c>
      <c r="H21" s="427">
        <v>46100</v>
      </c>
      <c r="I21" s="428">
        <v>40900</v>
      </c>
      <c r="J21" s="428">
        <v>5220</v>
      </c>
      <c r="K21" s="429">
        <v>104</v>
      </c>
      <c r="L21" s="430">
        <v>103</v>
      </c>
      <c r="M21" s="430">
        <v>1.57</v>
      </c>
      <c r="N21" s="429">
        <v>2.34</v>
      </c>
      <c r="O21" s="430">
        <v>2.06</v>
      </c>
      <c r="P21" s="430">
        <v>0.28399999999999997</v>
      </c>
      <c r="Q21" s="429">
        <v>102</v>
      </c>
      <c r="R21" s="430">
        <v>101</v>
      </c>
      <c r="S21" s="430">
        <v>1.29</v>
      </c>
      <c r="T21" s="429">
        <v>23.2</v>
      </c>
      <c r="U21" s="430">
        <v>20.7</v>
      </c>
      <c r="V21" s="430">
        <v>2.56</v>
      </c>
      <c r="W21" s="222" t="s">
        <v>2695</v>
      </c>
      <c r="X21" s="424" t="s">
        <v>2696</v>
      </c>
      <c r="Y21" s="45" t="s">
        <v>2697</v>
      </c>
      <c r="Z21" s="248"/>
      <c r="AA21" s="248"/>
    </row>
    <row r="22" spans="1:27" s="235" customFormat="1" ht="25.5">
      <c r="A22" s="226" t="s">
        <v>2698</v>
      </c>
      <c r="B22" s="217" t="s">
        <v>2699</v>
      </c>
      <c r="C22" s="424" t="s">
        <v>2700</v>
      </c>
      <c r="D22" s="226" t="s">
        <v>2701</v>
      </c>
      <c r="E22" s="425" t="s">
        <v>2702</v>
      </c>
      <c r="F22" s="232" t="s">
        <v>2703</v>
      </c>
      <c r="G22" s="426" t="s">
        <v>2523</v>
      </c>
      <c r="H22" s="427">
        <v>947000</v>
      </c>
      <c r="I22" s="428">
        <v>840000</v>
      </c>
      <c r="J22" s="428">
        <v>107000</v>
      </c>
      <c r="K22" s="429">
        <v>1830</v>
      </c>
      <c r="L22" s="430">
        <v>1780</v>
      </c>
      <c r="M22" s="430">
        <v>49</v>
      </c>
      <c r="N22" s="429">
        <v>48.5</v>
      </c>
      <c r="O22" s="430">
        <v>44.3</v>
      </c>
      <c r="P22" s="430">
        <v>4.17</v>
      </c>
      <c r="Q22" s="429">
        <v>1780</v>
      </c>
      <c r="R22" s="430">
        <v>1740</v>
      </c>
      <c r="S22" s="430">
        <v>44.8</v>
      </c>
      <c r="T22" s="429">
        <v>661</v>
      </c>
      <c r="U22" s="430">
        <v>566</v>
      </c>
      <c r="V22" s="430">
        <v>95.7</v>
      </c>
      <c r="W22" s="232" t="s">
        <v>2704</v>
      </c>
      <c r="X22" s="424" t="s">
        <v>2705</v>
      </c>
      <c r="Y22" s="30" t="s">
        <v>2706</v>
      </c>
      <c r="Z22" s="431"/>
      <c r="AA22" s="431"/>
    </row>
    <row r="23" spans="1:27" s="190" customFormat="1">
      <c r="A23" s="121" t="s">
        <v>2707</v>
      </c>
      <c r="B23" s="217" t="s">
        <v>2708</v>
      </c>
      <c r="C23" s="424" t="s">
        <v>2709</v>
      </c>
      <c r="D23" s="121" t="s">
        <v>2710</v>
      </c>
      <c r="E23" s="122" t="s">
        <v>2711</v>
      </c>
      <c r="F23" s="222" t="s">
        <v>2703</v>
      </c>
      <c r="G23" s="123" t="s">
        <v>2523</v>
      </c>
      <c r="H23" s="427">
        <v>4690000</v>
      </c>
      <c r="I23" s="428">
        <v>4200000</v>
      </c>
      <c r="J23" s="428">
        <v>486000</v>
      </c>
      <c r="K23" s="429">
        <v>4960</v>
      </c>
      <c r="L23" s="430">
        <v>4930</v>
      </c>
      <c r="M23" s="430">
        <v>38.1</v>
      </c>
      <c r="N23" s="429">
        <v>502</v>
      </c>
      <c r="O23" s="430">
        <v>498</v>
      </c>
      <c r="P23" s="430">
        <v>3.16</v>
      </c>
      <c r="Q23" s="429">
        <v>4460</v>
      </c>
      <c r="R23" s="430">
        <v>4430</v>
      </c>
      <c r="S23" s="430">
        <v>35</v>
      </c>
      <c r="T23" s="429">
        <v>2400</v>
      </c>
      <c r="U23" s="430">
        <v>1930</v>
      </c>
      <c r="V23" s="430">
        <v>473</v>
      </c>
      <c r="W23" s="222" t="s">
        <v>2704</v>
      </c>
      <c r="X23" s="424" t="s">
        <v>2712</v>
      </c>
      <c r="Y23" s="45" t="s">
        <v>2713</v>
      </c>
      <c r="Z23" s="248"/>
      <c r="AA23" s="248"/>
    </row>
    <row r="24" spans="1:27" s="190" customFormat="1">
      <c r="A24" s="121" t="s">
        <v>2714</v>
      </c>
      <c r="B24" s="217" t="s">
        <v>2715</v>
      </c>
      <c r="C24" s="424" t="s">
        <v>2709</v>
      </c>
      <c r="D24" s="121" t="s">
        <v>2716</v>
      </c>
      <c r="E24" s="122" t="s">
        <v>2711</v>
      </c>
      <c r="F24" s="222" t="s">
        <v>2648</v>
      </c>
      <c r="G24" s="123" t="s">
        <v>268</v>
      </c>
      <c r="H24" s="427">
        <v>29700</v>
      </c>
      <c r="I24" s="428">
        <v>26600</v>
      </c>
      <c r="J24" s="428">
        <v>3080</v>
      </c>
      <c r="K24" s="429">
        <v>31.4</v>
      </c>
      <c r="L24" s="430">
        <v>31.2</v>
      </c>
      <c r="M24" s="430">
        <v>0.24099999999999999</v>
      </c>
      <c r="N24" s="429">
        <v>3.17</v>
      </c>
      <c r="O24" s="430">
        <v>3.15</v>
      </c>
      <c r="P24" s="430">
        <v>0.02</v>
      </c>
      <c r="Q24" s="429">
        <v>28.2</v>
      </c>
      <c r="R24" s="430">
        <v>28</v>
      </c>
      <c r="S24" s="430">
        <v>0.221</v>
      </c>
      <c r="T24" s="429">
        <v>15.2</v>
      </c>
      <c r="U24" s="430">
        <v>12.2</v>
      </c>
      <c r="V24" s="430">
        <v>2.99</v>
      </c>
      <c r="W24" s="222" t="s">
        <v>2649</v>
      </c>
      <c r="X24" s="424" t="s">
        <v>2712</v>
      </c>
      <c r="Y24" s="45" t="s">
        <v>2713</v>
      </c>
      <c r="Z24" s="248"/>
      <c r="AA24" s="248"/>
    </row>
    <row r="25" spans="1:27" s="190" customFormat="1">
      <c r="A25" s="121" t="s">
        <v>2717</v>
      </c>
      <c r="B25" s="217" t="s">
        <v>2718</v>
      </c>
      <c r="C25" s="424" t="s">
        <v>2719</v>
      </c>
      <c r="D25" s="121" t="s">
        <v>2720</v>
      </c>
      <c r="E25" s="122" t="s">
        <v>2721</v>
      </c>
      <c r="F25" s="222" t="s">
        <v>2703</v>
      </c>
      <c r="G25" s="123" t="s">
        <v>2523</v>
      </c>
      <c r="H25" s="427">
        <v>7440000</v>
      </c>
      <c r="I25" s="428">
        <v>6600000</v>
      </c>
      <c r="J25" s="428">
        <v>845000</v>
      </c>
      <c r="K25" s="429">
        <v>8160</v>
      </c>
      <c r="L25" s="430">
        <v>8090</v>
      </c>
      <c r="M25" s="430">
        <v>62.4</v>
      </c>
      <c r="N25" s="429">
        <v>1030</v>
      </c>
      <c r="O25" s="430">
        <v>1020</v>
      </c>
      <c r="P25" s="430">
        <v>5.14</v>
      </c>
      <c r="Q25" s="429">
        <v>7130</v>
      </c>
      <c r="R25" s="430">
        <v>7070</v>
      </c>
      <c r="S25" s="430">
        <v>57.2</v>
      </c>
      <c r="T25" s="429">
        <v>4000</v>
      </c>
      <c r="U25" s="430">
        <v>3180</v>
      </c>
      <c r="V25" s="430">
        <v>824</v>
      </c>
      <c r="W25" s="222" t="s">
        <v>2704</v>
      </c>
      <c r="X25" s="424" t="s">
        <v>2722</v>
      </c>
      <c r="Y25" s="45" t="s">
        <v>2723</v>
      </c>
      <c r="Z25" s="248"/>
      <c r="AA25" s="248"/>
    </row>
    <row r="26" spans="1:27" s="190" customFormat="1">
      <c r="A26" s="121" t="s">
        <v>2724</v>
      </c>
      <c r="B26" s="217" t="s">
        <v>2725</v>
      </c>
      <c r="C26" s="424" t="s">
        <v>2719</v>
      </c>
      <c r="D26" s="121" t="s">
        <v>2726</v>
      </c>
      <c r="E26" s="122" t="s">
        <v>2721</v>
      </c>
      <c r="F26" s="222" t="s">
        <v>2648</v>
      </c>
      <c r="G26" s="123" t="s">
        <v>268</v>
      </c>
      <c r="H26" s="427">
        <v>29100</v>
      </c>
      <c r="I26" s="428">
        <v>25800</v>
      </c>
      <c r="J26" s="428">
        <v>3300</v>
      </c>
      <c r="K26" s="421">
        <v>31.9</v>
      </c>
      <c r="L26" s="422">
        <v>31.6</v>
      </c>
      <c r="M26" s="422">
        <v>0.24399999999999999</v>
      </c>
      <c r="N26" s="421">
        <v>4.01</v>
      </c>
      <c r="O26" s="422">
        <v>3.99</v>
      </c>
      <c r="P26" s="422">
        <v>2.01E-2</v>
      </c>
      <c r="Q26" s="421">
        <v>27.8</v>
      </c>
      <c r="R26" s="422">
        <v>27.6</v>
      </c>
      <c r="S26" s="422">
        <v>0.224</v>
      </c>
      <c r="T26" s="421">
        <v>15.6</v>
      </c>
      <c r="U26" s="422">
        <v>12.4</v>
      </c>
      <c r="V26" s="422">
        <v>3.22</v>
      </c>
      <c r="W26" s="222" t="s">
        <v>2649</v>
      </c>
      <c r="X26" s="424" t="s">
        <v>2722</v>
      </c>
      <c r="Y26" s="45" t="s">
        <v>2723</v>
      </c>
      <c r="Z26" s="248"/>
      <c r="AA26" s="248"/>
    </row>
    <row r="27" spans="1:27" s="190" customFormat="1" ht="14.25">
      <c r="A27" s="121" t="s">
        <v>2727</v>
      </c>
      <c r="B27" s="217" t="s">
        <v>2728</v>
      </c>
      <c r="C27" s="240" t="s">
        <v>2729</v>
      </c>
      <c r="D27" s="432" t="s">
        <v>1012</v>
      </c>
      <c r="E27" s="433" t="s">
        <v>2730</v>
      </c>
      <c r="F27" s="222" t="s">
        <v>2731</v>
      </c>
      <c r="G27" s="123" t="s">
        <v>1019</v>
      </c>
      <c r="H27" s="419">
        <v>687000</v>
      </c>
      <c r="I27" s="420">
        <v>687000</v>
      </c>
      <c r="J27" s="434" t="s">
        <v>916</v>
      </c>
      <c r="K27" s="421">
        <v>1220</v>
      </c>
      <c r="L27" s="422">
        <v>1220</v>
      </c>
      <c r="M27" s="422" t="s">
        <v>916</v>
      </c>
      <c r="N27" s="421">
        <v>148</v>
      </c>
      <c r="O27" s="422">
        <v>148</v>
      </c>
      <c r="P27" s="422" t="s">
        <v>916</v>
      </c>
      <c r="Q27" s="421">
        <v>1070</v>
      </c>
      <c r="R27" s="422">
        <v>1070</v>
      </c>
      <c r="S27" s="422" t="s">
        <v>916</v>
      </c>
      <c r="T27" s="421">
        <v>289</v>
      </c>
      <c r="U27" s="422">
        <v>289</v>
      </c>
      <c r="V27" s="422" t="s">
        <v>916</v>
      </c>
      <c r="W27" s="222" t="s">
        <v>2732</v>
      </c>
      <c r="X27" s="240" t="s">
        <v>2733</v>
      </c>
      <c r="Y27" s="435" t="s">
        <v>2734</v>
      </c>
      <c r="Z27" s="248"/>
      <c r="AA27" s="248"/>
    </row>
    <row r="28" spans="1:27" s="190" customFormat="1" ht="14.25">
      <c r="A28" s="121" t="s">
        <v>2735</v>
      </c>
      <c r="B28" s="217" t="s">
        <v>2736</v>
      </c>
      <c r="C28" s="240" t="s">
        <v>2737</v>
      </c>
      <c r="D28" s="432" t="s">
        <v>1012</v>
      </c>
      <c r="E28" s="433" t="s">
        <v>2730</v>
      </c>
      <c r="F28" s="222" t="s">
        <v>2731</v>
      </c>
      <c r="G28" s="123" t="s">
        <v>1019</v>
      </c>
      <c r="H28" s="419">
        <v>483000</v>
      </c>
      <c r="I28" s="420">
        <v>483000</v>
      </c>
      <c r="J28" s="434" t="s">
        <v>916</v>
      </c>
      <c r="K28" s="421">
        <v>889</v>
      </c>
      <c r="L28" s="422">
        <v>889</v>
      </c>
      <c r="M28" s="422" t="s">
        <v>916</v>
      </c>
      <c r="N28" s="421">
        <v>106</v>
      </c>
      <c r="O28" s="422">
        <v>106</v>
      </c>
      <c r="P28" s="422" t="s">
        <v>916</v>
      </c>
      <c r="Q28" s="421">
        <v>782</v>
      </c>
      <c r="R28" s="422">
        <v>782</v>
      </c>
      <c r="S28" s="422" t="s">
        <v>916</v>
      </c>
      <c r="T28" s="421">
        <v>204</v>
      </c>
      <c r="U28" s="422">
        <v>204</v>
      </c>
      <c r="V28" s="422" t="s">
        <v>916</v>
      </c>
      <c r="W28" s="222" t="s">
        <v>2732</v>
      </c>
      <c r="X28" s="240" t="s">
        <v>2738</v>
      </c>
      <c r="Y28" s="435" t="s">
        <v>2734</v>
      </c>
      <c r="Z28" s="248"/>
      <c r="AA28" s="248"/>
    </row>
    <row r="29" spans="1:27" s="190" customFormat="1" ht="14.25">
      <c r="A29" s="121" t="s">
        <v>939</v>
      </c>
      <c r="B29" s="217" t="s">
        <v>2739</v>
      </c>
      <c r="C29" s="240" t="s">
        <v>938</v>
      </c>
      <c r="D29" s="432" t="s">
        <v>1012</v>
      </c>
      <c r="E29" s="433" t="s">
        <v>2730</v>
      </c>
      <c r="F29" s="222" t="s">
        <v>2731</v>
      </c>
      <c r="G29" s="123" t="s">
        <v>1019</v>
      </c>
      <c r="H29" s="419">
        <v>411000</v>
      </c>
      <c r="I29" s="420">
        <v>411000</v>
      </c>
      <c r="J29" s="434" t="s">
        <v>916</v>
      </c>
      <c r="K29" s="421">
        <v>749</v>
      </c>
      <c r="L29" s="422">
        <v>749</v>
      </c>
      <c r="M29" s="422" t="s">
        <v>916</v>
      </c>
      <c r="N29" s="421">
        <v>82.4</v>
      </c>
      <c r="O29" s="422">
        <v>82.4</v>
      </c>
      <c r="P29" s="422" t="s">
        <v>916</v>
      </c>
      <c r="Q29" s="421">
        <v>667</v>
      </c>
      <c r="R29" s="422">
        <v>667</v>
      </c>
      <c r="S29" s="422" t="s">
        <v>916</v>
      </c>
      <c r="T29" s="421">
        <v>168</v>
      </c>
      <c r="U29" s="422">
        <v>168</v>
      </c>
      <c r="V29" s="422" t="s">
        <v>916</v>
      </c>
      <c r="W29" s="222" t="s">
        <v>2732</v>
      </c>
      <c r="X29" s="240" t="s">
        <v>2740</v>
      </c>
      <c r="Y29" s="435" t="s">
        <v>2734</v>
      </c>
      <c r="Z29" s="248"/>
      <c r="AA29" s="248"/>
    </row>
    <row r="30" spans="1:27" s="190" customFormat="1" ht="14.25">
      <c r="A30" s="121" t="s">
        <v>2741</v>
      </c>
      <c r="B30" s="217" t="s">
        <v>2742</v>
      </c>
      <c r="C30" s="240" t="s">
        <v>2743</v>
      </c>
      <c r="D30" s="432" t="s">
        <v>1012</v>
      </c>
      <c r="E30" s="433" t="s">
        <v>2730</v>
      </c>
      <c r="F30" s="222" t="s">
        <v>2731</v>
      </c>
      <c r="G30" s="123" t="s">
        <v>1019</v>
      </c>
      <c r="H30" s="419">
        <v>493000</v>
      </c>
      <c r="I30" s="420">
        <v>493000</v>
      </c>
      <c r="J30" s="434" t="s">
        <v>916</v>
      </c>
      <c r="K30" s="421">
        <v>988</v>
      </c>
      <c r="L30" s="422">
        <v>988</v>
      </c>
      <c r="M30" s="422" t="s">
        <v>916</v>
      </c>
      <c r="N30" s="421">
        <v>104</v>
      </c>
      <c r="O30" s="422">
        <v>104</v>
      </c>
      <c r="P30" s="422" t="s">
        <v>916</v>
      </c>
      <c r="Q30" s="421">
        <v>884</v>
      </c>
      <c r="R30" s="422">
        <v>884</v>
      </c>
      <c r="S30" s="422" t="s">
        <v>916</v>
      </c>
      <c r="T30" s="421">
        <v>230</v>
      </c>
      <c r="U30" s="422">
        <v>230</v>
      </c>
      <c r="V30" s="422" t="s">
        <v>916</v>
      </c>
      <c r="W30" s="222" t="s">
        <v>2732</v>
      </c>
      <c r="X30" s="240" t="s">
        <v>2744</v>
      </c>
      <c r="Y30" s="435" t="s">
        <v>2734</v>
      </c>
      <c r="Z30" s="248"/>
      <c r="AA30" s="248"/>
    </row>
    <row r="31" spans="1:27" s="235" customFormat="1" ht="14.25">
      <c r="A31" s="226" t="s">
        <v>2745</v>
      </c>
      <c r="B31" s="217" t="s">
        <v>2746</v>
      </c>
      <c r="C31" s="424" t="s">
        <v>2747</v>
      </c>
      <c r="D31" s="432" t="s">
        <v>1012</v>
      </c>
      <c r="E31" s="433" t="s">
        <v>2730</v>
      </c>
      <c r="F31" s="232" t="s">
        <v>2731</v>
      </c>
      <c r="G31" s="426" t="s">
        <v>1449</v>
      </c>
      <c r="H31" s="427">
        <v>715000</v>
      </c>
      <c r="I31" s="428">
        <v>715000</v>
      </c>
      <c r="J31" s="436" t="s">
        <v>916</v>
      </c>
      <c r="K31" s="429">
        <v>1450</v>
      </c>
      <c r="L31" s="430">
        <v>1450</v>
      </c>
      <c r="M31" s="430" t="s">
        <v>916</v>
      </c>
      <c r="N31" s="429">
        <v>153</v>
      </c>
      <c r="O31" s="430">
        <v>153</v>
      </c>
      <c r="P31" s="430" t="s">
        <v>916</v>
      </c>
      <c r="Q31" s="429">
        <v>1300</v>
      </c>
      <c r="R31" s="430">
        <v>1300</v>
      </c>
      <c r="S31" s="430" t="s">
        <v>916</v>
      </c>
      <c r="T31" s="429">
        <v>343</v>
      </c>
      <c r="U31" s="430">
        <v>343</v>
      </c>
      <c r="V31" s="430" t="s">
        <v>916</v>
      </c>
      <c r="W31" s="232" t="s">
        <v>2732</v>
      </c>
      <c r="X31" s="424" t="s">
        <v>2748</v>
      </c>
      <c r="Y31" s="435" t="s">
        <v>2734</v>
      </c>
      <c r="Z31" s="431"/>
      <c r="AA31" s="431"/>
    </row>
    <row r="32" spans="1:27" s="235" customFormat="1" ht="14.25">
      <c r="A32" s="226" t="s">
        <v>2749</v>
      </c>
      <c r="B32" s="217" t="s">
        <v>2750</v>
      </c>
      <c r="C32" s="424" t="s">
        <v>2751</v>
      </c>
      <c r="D32" s="432" t="s">
        <v>1012</v>
      </c>
      <c r="E32" s="433" t="s">
        <v>2730</v>
      </c>
      <c r="F32" s="232" t="s">
        <v>2731</v>
      </c>
      <c r="G32" s="426" t="s">
        <v>1449</v>
      </c>
      <c r="H32" s="427">
        <v>769000</v>
      </c>
      <c r="I32" s="428">
        <v>769000</v>
      </c>
      <c r="J32" s="436" t="s">
        <v>916</v>
      </c>
      <c r="K32" s="429">
        <v>1550</v>
      </c>
      <c r="L32" s="430">
        <v>1550</v>
      </c>
      <c r="M32" s="430" t="s">
        <v>916</v>
      </c>
      <c r="N32" s="429">
        <v>169</v>
      </c>
      <c r="O32" s="430">
        <v>169</v>
      </c>
      <c r="P32" s="430" t="s">
        <v>916</v>
      </c>
      <c r="Q32" s="429">
        <v>1380</v>
      </c>
      <c r="R32" s="430">
        <v>1380</v>
      </c>
      <c r="S32" s="430" t="s">
        <v>916</v>
      </c>
      <c r="T32" s="429">
        <v>369</v>
      </c>
      <c r="U32" s="430">
        <v>369</v>
      </c>
      <c r="V32" s="430" t="s">
        <v>916</v>
      </c>
      <c r="W32" s="232" t="s">
        <v>2732</v>
      </c>
      <c r="X32" s="424" t="s">
        <v>2752</v>
      </c>
      <c r="Y32" s="435" t="s">
        <v>2734</v>
      </c>
      <c r="Z32" s="431"/>
      <c r="AA32" s="431"/>
    </row>
    <row r="33" spans="1:27" s="190" customFormat="1">
      <c r="A33" s="118" t="s">
        <v>2753</v>
      </c>
      <c r="B33" s="738"/>
      <c r="C33" s="437" t="s">
        <v>2754</v>
      </c>
      <c r="D33" s="119"/>
      <c r="E33" s="437"/>
      <c r="F33" s="229"/>
      <c r="G33" s="229"/>
      <c r="H33" s="438"/>
      <c r="I33" s="438"/>
      <c r="J33" s="438"/>
      <c r="K33" s="438"/>
      <c r="L33" s="438"/>
      <c r="M33" s="438"/>
      <c r="N33" s="438"/>
      <c r="O33" s="438"/>
      <c r="P33" s="438"/>
      <c r="Q33" s="438"/>
      <c r="R33" s="438"/>
      <c r="S33" s="438"/>
      <c r="T33" s="438"/>
      <c r="U33" s="438"/>
      <c r="V33" s="438"/>
      <c r="W33" s="438"/>
      <c r="X33" s="437" t="s">
        <v>254</v>
      </c>
      <c r="Y33" s="437"/>
      <c r="Z33" s="248"/>
      <c r="AA33" s="248"/>
    </row>
    <row r="34" spans="1:27" s="190" customFormat="1" ht="14.25">
      <c r="A34" s="121" t="s">
        <v>944</v>
      </c>
      <c r="B34" s="217" t="s">
        <v>2755</v>
      </c>
      <c r="C34" s="240" t="s">
        <v>2756</v>
      </c>
      <c r="D34" s="121" t="s">
        <v>2757</v>
      </c>
      <c r="E34" s="122" t="s">
        <v>2758</v>
      </c>
      <c r="F34" s="222" t="s">
        <v>2628</v>
      </c>
      <c r="G34" s="123" t="s">
        <v>1019</v>
      </c>
      <c r="H34" s="419">
        <v>34200</v>
      </c>
      <c r="I34" s="420">
        <v>33600</v>
      </c>
      <c r="J34" s="420">
        <v>591</v>
      </c>
      <c r="K34" s="421">
        <v>55</v>
      </c>
      <c r="L34" s="422">
        <v>54.9</v>
      </c>
      <c r="M34" s="422">
        <v>0.154</v>
      </c>
      <c r="N34" s="421">
        <v>4.5199999999999996</v>
      </c>
      <c r="O34" s="422">
        <v>4.51</v>
      </c>
      <c r="P34" s="422">
        <v>9.7199999999999995E-3</v>
      </c>
      <c r="Q34" s="421">
        <v>50.5</v>
      </c>
      <c r="R34" s="422">
        <v>50.3</v>
      </c>
      <c r="S34" s="422">
        <v>0.14399999999999999</v>
      </c>
      <c r="T34" s="421">
        <v>15</v>
      </c>
      <c r="U34" s="422">
        <v>14.6</v>
      </c>
      <c r="V34" s="422">
        <v>0.33800000000000002</v>
      </c>
      <c r="W34" s="222" t="s">
        <v>251</v>
      </c>
      <c r="X34" s="240" t="s">
        <v>2759</v>
      </c>
      <c r="Y34" s="45" t="s">
        <v>2760</v>
      </c>
      <c r="Z34" s="248"/>
      <c r="AA34" s="248"/>
    </row>
    <row r="35" spans="1:27" s="190" customFormat="1" ht="14.25">
      <c r="A35" s="121" t="s">
        <v>947</v>
      </c>
      <c r="B35" s="217" t="s">
        <v>2761</v>
      </c>
      <c r="C35" s="240" t="s">
        <v>2762</v>
      </c>
      <c r="D35" s="121" t="s">
        <v>2763</v>
      </c>
      <c r="E35" s="122" t="s">
        <v>2764</v>
      </c>
      <c r="F35" s="222" t="s">
        <v>2628</v>
      </c>
      <c r="G35" s="123" t="s">
        <v>1019</v>
      </c>
      <c r="H35" s="419">
        <v>46100</v>
      </c>
      <c r="I35" s="420">
        <v>45300</v>
      </c>
      <c r="J35" s="420">
        <v>828</v>
      </c>
      <c r="K35" s="421">
        <v>74.3</v>
      </c>
      <c r="L35" s="422">
        <v>74.099999999999994</v>
      </c>
      <c r="M35" s="422">
        <v>0.21099999999999999</v>
      </c>
      <c r="N35" s="421">
        <v>6.08</v>
      </c>
      <c r="O35" s="422">
        <v>6.07</v>
      </c>
      <c r="P35" s="422">
        <v>1.32E-2</v>
      </c>
      <c r="Q35" s="421">
        <v>68.2</v>
      </c>
      <c r="R35" s="422">
        <v>68</v>
      </c>
      <c r="S35" s="422">
        <v>0.19800000000000001</v>
      </c>
      <c r="T35" s="421">
        <v>20.2</v>
      </c>
      <c r="U35" s="422">
        <v>19.7</v>
      </c>
      <c r="V35" s="422">
        <v>0.47499999999999998</v>
      </c>
      <c r="W35" s="222" t="s">
        <v>251</v>
      </c>
      <c r="X35" s="240" t="s">
        <v>2765</v>
      </c>
      <c r="Y35" s="45" t="s">
        <v>2766</v>
      </c>
      <c r="Z35" s="248"/>
      <c r="AA35" s="248"/>
    </row>
    <row r="36" spans="1:27" s="190" customFormat="1" ht="14.25">
      <c r="A36" s="121" t="s">
        <v>950</v>
      </c>
      <c r="B36" s="217" t="s">
        <v>2767</v>
      </c>
      <c r="C36" s="240" t="s">
        <v>2768</v>
      </c>
      <c r="D36" s="121" t="s">
        <v>2769</v>
      </c>
      <c r="E36" s="122" t="s">
        <v>2770</v>
      </c>
      <c r="F36" s="222" t="s">
        <v>2628</v>
      </c>
      <c r="G36" s="123" t="s">
        <v>1019</v>
      </c>
      <c r="H36" s="419">
        <v>69900</v>
      </c>
      <c r="I36" s="420">
        <v>68600</v>
      </c>
      <c r="J36" s="420">
        <v>1300</v>
      </c>
      <c r="K36" s="421">
        <v>113</v>
      </c>
      <c r="L36" s="422">
        <v>112</v>
      </c>
      <c r="M36" s="422">
        <v>0.32600000000000001</v>
      </c>
      <c r="N36" s="421">
        <v>9.19</v>
      </c>
      <c r="O36" s="422">
        <v>9.17</v>
      </c>
      <c r="P36" s="422">
        <v>2.0199999999999999E-2</v>
      </c>
      <c r="Q36" s="421">
        <v>104</v>
      </c>
      <c r="R36" s="422">
        <v>103</v>
      </c>
      <c r="S36" s="422">
        <v>0.30599999999999999</v>
      </c>
      <c r="T36" s="421">
        <v>30.6</v>
      </c>
      <c r="U36" s="422">
        <v>29.8</v>
      </c>
      <c r="V36" s="422">
        <v>0.748</v>
      </c>
      <c r="W36" s="222" t="s">
        <v>251</v>
      </c>
      <c r="X36" s="240" t="s">
        <v>2771</v>
      </c>
      <c r="Y36" s="45" t="s">
        <v>2772</v>
      </c>
      <c r="Z36" s="248"/>
      <c r="AA36" s="248"/>
    </row>
    <row r="37" spans="1:27" s="190" customFormat="1" ht="14.25">
      <c r="A37" s="121" t="s">
        <v>2773</v>
      </c>
      <c r="B37" s="217" t="s">
        <v>2774</v>
      </c>
      <c r="C37" s="240" t="s">
        <v>2775</v>
      </c>
      <c r="D37" s="121" t="s">
        <v>2776</v>
      </c>
      <c r="E37" s="122" t="s">
        <v>2777</v>
      </c>
      <c r="F37" s="222" t="s">
        <v>2628</v>
      </c>
      <c r="G37" s="123" t="s">
        <v>1019</v>
      </c>
      <c r="H37" s="419">
        <v>93700</v>
      </c>
      <c r="I37" s="420">
        <v>91900</v>
      </c>
      <c r="J37" s="420">
        <v>1770</v>
      </c>
      <c r="K37" s="421">
        <v>151</v>
      </c>
      <c r="L37" s="422">
        <v>151</v>
      </c>
      <c r="M37" s="422">
        <v>0.442</v>
      </c>
      <c r="N37" s="421">
        <v>12.3</v>
      </c>
      <c r="O37" s="422">
        <v>12.3</v>
      </c>
      <c r="P37" s="422">
        <v>2.7199999999999998E-2</v>
      </c>
      <c r="Q37" s="421">
        <v>139</v>
      </c>
      <c r="R37" s="422">
        <v>139</v>
      </c>
      <c r="S37" s="422">
        <v>0.41399999999999998</v>
      </c>
      <c r="T37" s="421">
        <v>41</v>
      </c>
      <c r="U37" s="422">
        <v>40</v>
      </c>
      <c r="V37" s="422">
        <v>1.02</v>
      </c>
      <c r="W37" s="222" t="s">
        <v>251</v>
      </c>
      <c r="X37" s="240" t="s">
        <v>2778</v>
      </c>
      <c r="Y37" s="45" t="s">
        <v>2779</v>
      </c>
      <c r="Z37" s="248"/>
      <c r="AA37" s="248"/>
    </row>
    <row r="38" spans="1:27" s="190" customFormat="1" ht="14.25">
      <c r="A38" s="121" t="s">
        <v>2780</v>
      </c>
      <c r="B38" s="217" t="s">
        <v>2781</v>
      </c>
      <c r="C38" s="240" t="s">
        <v>2782</v>
      </c>
      <c r="D38" s="121" t="s">
        <v>2783</v>
      </c>
      <c r="E38" s="122" t="s">
        <v>2784</v>
      </c>
      <c r="F38" s="222" t="s">
        <v>2628</v>
      </c>
      <c r="G38" s="123" t="s">
        <v>1019</v>
      </c>
      <c r="H38" s="419">
        <v>117000</v>
      </c>
      <c r="I38" s="420">
        <v>115000</v>
      </c>
      <c r="J38" s="420">
        <v>2250</v>
      </c>
      <c r="K38" s="421">
        <v>190</v>
      </c>
      <c r="L38" s="422">
        <v>189</v>
      </c>
      <c r="M38" s="422">
        <v>0.55700000000000005</v>
      </c>
      <c r="N38" s="421">
        <v>15.4</v>
      </c>
      <c r="O38" s="422">
        <v>15.4</v>
      </c>
      <c r="P38" s="422">
        <v>3.4200000000000001E-2</v>
      </c>
      <c r="Q38" s="421">
        <v>174</v>
      </c>
      <c r="R38" s="422">
        <v>174</v>
      </c>
      <c r="S38" s="422">
        <v>0.52200000000000002</v>
      </c>
      <c r="T38" s="421">
        <v>51.4</v>
      </c>
      <c r="U38" s="422">
        <v>50.1</v>
      </c>
      <c r="V38" s="422">
        <v>1.29</v>
      </c>
      <c r="W38" s="222" t="s">
        <v>251</v>
      </c>
      <c r="X38" s="240" t="s">
        <v>2785</v>
      </c>
      <c r="Y38" s="45" t="s">
        <v>2786</v>
      </c>
      <c r="Z38" s="248"/>
      <c r="AA38" s="248"/>
    </row>
    <row r="39" spans="1:27" s="190" customFormat="1" ht="25.5">
      <c r="A39" s="121" t="s">
        <v>2787</v>
      </c>
      <c r="B39" s="217" t="s">
        <v>2788</v>
      </c>
      <c r="C39" s="240" t="s">
        <v>2789</v>
      </c>
      <c r="D39" s="121" t="s">
        <v>2790</v>
      </c>
      <c r="E39" s="122" t="s">
        <v>2791</v>
      </c>
      <c r="F39" s="222" t="s">
        <v>2628</v>
      </c>
      <c r="G39" s="123" t="s">
        <v>1019</v>
      </c>
      <c r="H39" s="419">
        <v>41400</v>
      </c>
      <c r="I39" s="420">
        <v>41000</v>
      </c>
      <c r="J39" s="420">
        <v>361</v>
      </c>
      <c r="K39" s="421">
        <v>53.9</v>
      </c>
      <c r="L39" s="422">
        <v>53.9</v>
      </c>
      <c r="M39" s="422">
        <v>7.2900000000000006E-2</v>
      </c>
      <c r="N39" s="421">
        <v>4.26</v>
      </c>
      <c r="O39" s="422">
        <v>4.25</v>
      </c>
      <c r="P39" s="422">
        <v>5.4900000000000001E-3</v>
      </c>
      <c r="Q39" s="421">
        <v>49.7</v>
      </c>
      <c r="R39" s="422">
        <v>49.6</v>
      </c>
      <c r="S39" s="422">
        <v>6.7400000000000002E-2</v>
      </c>
      <c r="T39" s="421">
        <v>14.1</v>
      </c>
      <c r="U39" s="422">
        <v>13.8</v>
      </c>
      <c r="V39" s="422">
        <v>0.29799999999999999</v>
      </c>
      <c r="W39" s="222" t="s">
        <v>251</v>
      </c>
      <c r="X39" s="240" t="s">
        <v>2792</v>
      </c>
      <c r="Y39" s="45" t="s">
        <v>2793</v>
      </c>
      <c r="Z39" s="248"/>
      <c r="AA39" s="248"/>
    </row>
    <row r="40" spans="1:27" s="190" customFormat="1" ht="25.5">
      <c r="A40" s="121" t="s">
        <v>2794</v>
      </c>
      <c r="B40" s="217" t="s">
        <v>2795</v>
      </c>
      <c r="C40" s="240" t="s">
        <v>2796</v>
      </c>
      <c r="D40" s="121" t="s">
        <v>2797</v>
      </c>
      <c r="E40" s="122" t="s">
        <v>2798</v>
      </c>
      <c r="F40" s="222" t="s">
        <v>2628</v>
      </c>
      <c r="G40" s="123" t="s">
        <v>1019</v>
      </c>
      <c r="H40" s="419">
        <v>21300</v>
      </c>
      <c r="I40" s="420">
        <v>20600</v>
      </c>
      <c r="J40" s="420">
        <v>781</v>
      </c>
      <c r="K40" s="421">
        <v>33.200000000000003</v>
      </c>
      <c r="L40" s="422">
        <v>33.1</v>
      </c>
      <c r="M40" s="422">
        <v>6.5299999999999997E-2</v>
      </c>
      <c r="N40" s="421">
        <v>2.52</v>
      </c>
      <c r="O40" s="422">
        <v>2.5099999999999998</v>
      </c>
      <c r="P40" s="422">
        <v>3.4199999999999999E-3</v>
      </c>
      <c r="Q40" s="421">
        <v>30.7</v>
      </c>
      <c r="R40" s="422">
        <v>30.6</v>
      </c>
      <c r="S40" s="422">
        <v>6.1899999999999997E-2</v>
      </c>
      <c r="T40" s="421">
        <v>8.25</v>
      </c>
      <c r="U40" s="422">
        <v>7.53</v>
      </c>
      <c r="V40" s="422">
        <v>0.72299999999999998</v>
      </c>
      <c r="W40" s="222" t="s">
        <v>251</v>
      </c>
      <c r="X40" s="240" t="s">
        <v>2799</v>
      </c>
      <c r="Y40" s="45" t="s">
        <v>2800</v>
      </c>
      <c r="Z40" s="248"/>
      <c r="AA40" s="248"/>
    </row>
    <row r="41" spans="1:27" s="190" customFormat="1" ht="14.25">
      <c r="A41" s="121" t="s">
        <v>941</v>
      </c>
      <c r="B41" s="217" t="s">
        <v>2801</v>
      </c>
      <c r="C41" s="240" t="s">
        <v>940</v>
      </c>
      <c r="D41" s="121" t="s">
        <v>2802</v>
      </c>
      <c r="E41" s="122" t="s">
        <v>2803</v>
      </c>
      <c r="F41" s="222" t="s">
        <v>2628</v>
      </c>
      <c r="G41" s="123" t="s">
        <v>1019</v>
      </c>
      <c r="H41" s="419">
        <v>11500</v>
      </c>
      <c r="I41" s="420">
        <v>11300</v>
      </c>
      <c r="J41" s="420">
        <v>175</v>
      </c>
      <c r="K41" s="421">
        <v>14.9</v>
      </c>
      <c r="L41" s="422">
        <v>14.9</v>
      </c>
      <c r="M41" s="422">
        <v>8.2000000000000007E-3</v>
      </c>
      <c r="N41" s="421">
        <v>1.17</v>
      </c>
      <c r="O41" s="422">
        <v>1.17</v>
      </c>
      <c r="P41" s="422">
        <v>2.63E-4</v>
      </c>
      <c r="Q41" s="421">
        <v>13.8</v>
      </c>
      <c r="R41" s="422">
        <v>13.7</v>
      </c>
      <c r="S41" s="422">
        <v>7.9299999999999995E-3</v>
      </c>
      <c r="T41" s="421">
        <v>3.64</v>
      </c>
      <c r="U41" s="422">
        <v>3.52</v>
      </c>
      <c r="V41" s="422">
        <v>0.125</v>
      </c>
      <c r="W41" s="222" t="s">
        <v>251</v>
      </c>
      <c r="X41" s="240" t="s">
        <v>2804</v>
      </c>
      <c r="Y41" s="45" t="s">
        <v>2805</v>
      </c>
      <c r="Z41" s="248"/>
      <c r="AA41" s="248"/>
    </row>
    <row r="42" spans="1:27" s="190" customFormat="1" ht="14.25">
      <c r="A42" s="121" t="s">
        <v>2806</v>
      </c>
      <c r="B42" s="217" t="s">
        <v>2807</v>
      </c>
      <c r="C42" s="240" t="s">
        <v>2808</v>
      </c>
      <c r="D42" s="121" t="s">
        <v>2809</v>
      </c>
      <c r="E42" s="122" t="s">
        <v>2810</v>
      </c>
      <c r="F42" s="222" t="s">
        <v>2628</v>
      </c>
      <c r="G42" s="123" t="s">
        <v>1019</v>
      </c>
      <c r="H42" s="419">
        <v>6870</v>
      </c>
      <c r="I42" s="420">
        <v>4590</v>
      </c>
      <c r="J42" s="420">
        <v>2280</v>
      </c>
      <c r="K42" s="421">
        <v>15.9</v>
      </c>
      <c r="L42" s="422">
        <v>14.8</v>
      </c>
      <c r="M42" s="422">
        <v>1.1299999999999999</v>
      </c>
      <c r="N42" s="421">
        <v>0.60899999999999999</v>
      </c>
      <c r="O42" s="422">
        <v>0.53600000000000003</v>
      </c>
      <c r="P42" s="422">
        <v>7.2499999999999995E-2</v>
      </c>
      <c r="Q42" s="421">
        <v>15.3</v>
      </c>
      <c r="R42" s="422">
        <v>14.2</v>
      </c>
      <c r="S42" s="422">
        <v>1.06</v>
      </c>
      <c r="T42" s="421">
        <v>4.43</v>
      </c>
      <c r="U42" s="422">
        <v>2.81</v>
      </c>
      <c r="V42" s="422">
        <v>1.62</v>
      </c>
      <c r="W42" s="222" t="s">
        <v>251</v>
      </c>
      <c r="X42" s="240" t="s">
        <v>2811</v>
      </c>
      <c r="Y42" s="45" t="s">
        <v>2812</v>
      </c>
      <c r="Z42" s="248"/>
      <c r="AA42" s="248"/>
    </row>
    <row r="43" spans="1:27" s="190" customFormat="1" ht="27">
      <c r="A43" s="121" t="s">
        <v>2813</v>
      </c>
      <c r="B43" s="217" t="s">
        <v>2814</v>
      </c>
      <c r="C43" s="240" t="s">
        <v>2815</v>
      </c>
      <c r="D43" s="121" t="s">
        <v>2816</v>
      </c>
      <c r="E43" s="122" t="s">
        <v>2817</v>
      </c>
      <c r="F43" s="222" t="s">
        <v>2628</v>
      </c>
      <c r="G43" s="123" t="s">
        <v>1019</v>
      </c>
      <c r="H43" s="419">
        <v>11900</v>
      </c>
      <c r="I43" s="420">
        <v>7960</v>
      </c>
      <c r="J43" s="420">
        <v>3950</v>
      </c>
      <c r="K43" s="421">
        <v>27.6</v>
      </c>
      <c r="L43" s="422">
        <v>25.6</v>
      </c>
      <c r="M43" s="422">
        <v>1.96</v>
      </c>
      <c r="N43" s="421">
        <v>1.06</v>
      </c>
      <c r="O43" s="422">
        <v>0.93</v>
      </c>
      <c r="P43" s="422">
        <v>0.126</v>
      </c>
      <c r="Q43" s="421">
        <v>26.5</v>
      </c>
      <c r="R43" s="422">
        <v>24.7</v>
      </c>
      <c r="S43" s="422">
        <v>1.84</v>
      </c>
      <c r="T43" s="421">
        <v>7.67</v>
      </c>
      <c r="U43" s="422">
        <v>4.87</v>
      </c>
      <c r="V43" s="422">
        <v>2.81</v>
      </c>
      <c r="W43" s="222" t="s">
        <v>251</v>
      </c>
      <c r="X43" s="240" t="s">
        <v>2818</v>
      </c>
      <c r="Y43" s="45" t="s">
        <v>2819</v>
      </c>
      <c r="Z43" s="248"/>
      <c r="AA43" s="248"/>
    </row>
    <row r="44" spans="1:27" s="190" customFormat="1" ht="27">
      <c r="A44" s="121" t="s">
        <v>2820</v>
      </c>
      <c r="B44" s="217" t="s">
        <v>2821</v>
      </c>
      <c r="C44" s="240" t="s">
        <v>2822</v>
      </c>
      <c r="D44" s="121" t="s">
        <v>2823</v>
      </c>
      <c r="E44" s="122" t="s">
        <v>2824</v>
      </c>
      <c r="F44" s="222" t="s">
        <v>2628</v>
      </c>
      <c r="G44" s="123" t="s">
        <v>1019</v>
      </c>
      <c r="H44" s="419">
        <v>29800</v>
      </c>
      <c r="I44" s="420">
        <v>19900</v>
      </c>
      <c r="J44" s="420">
        <v>9880</v>
      </c>
      <c r="K44" s="421">
        <v>68.900000000000006</v>
      </c>
      <c r="L44" s="422">
        <v>64</v>
      </c>
      <c r="M44" s="422">
        <v>4.91</v>
      </c>
      <c r="N44" s="421">
        <v>2.64</v>
      </c>
      <c r="O44" s="422">
        <v>2.3199999999999998</v>
      </c>
      <c r="P44" s="422">
        <v>0.314</v>
      </c>
      <c r="Q44" s="421">
        <v>66.2</v>
      </c>
      <c r="R44" s="422">
        <v>61.6</v>
      </c>
      <c r="S44" s="422">
        <v>4.59</v>
      </c>
      <c r="T44" s="421">
        <v>19.2</v>
      </c>
      <c r="U44" s="422">
        <v>12.2</v>
      </c>
      <c r="V44" s="422">
        <v>7.02</v>
      </c>
      <c r="W44" s="222" t="s">
        <v>251</v>
      </c>
      <c r="X44" s="240" t="s">
        <v>2825</v>
      </c>
      <c r="Y44" s="45" t="s">
        <v>2826</v>
      </c>
      <c r="Z44" s="248"/>
      <c r="AA44" s="248"/>
    </row>
    <row r="45" spans="1:27" s="190" customFormat="1" ht="27">
      <c r="A45" s="121" t="s">
        <v>2827</v>
      </c>
      <c r="B45" s="217" t="s">
        <v>2828</v>
      </c>
      <c r="C45" s="240" t="s">
        <v>2829</v>
      </c>
      <c r="D45" s="121" t="s">
        <v>2830</v>
      </c>
      <c r="E45" s="122" t="s">
        <v>2831</v>
      </c>
      <c r="F45" s="222" t="s">
        <v>2703</v>
      </c>
      <c r="G45" s="123" t="s">
        <v>2523</v>
      </c>
      <c r="H45" s="419">
        <v>84200</v>
      </c>
      <c r="I45" s="420">
        <v>78100</v>
      </c>
      <c r="J45" s="420">
        <v>6130</v>
      </c>
      <c r="K45" s="421">
        <v>321</v>
      </c>
      <c r="L45" s="422">
        <v>319</v>
      </c>
      <c r="M45" s="422">
        <v>1.41</v>
      </c>
      <c r="N45" s="421">
        <v>107</v>
      </c>
      <c r="O45" s="422">
        <v>106</v>
      </c>
      <c r="P45" s="422">
        <v>7.8700000000000006E-2</v>
      </c>
      <c r="Q45" s="421">
        <v>214</v>
      </c>
      <c r="R45" s="422">
        <v>213</v>
      </c>
      <c r="S45" s="422">
        <v>1.33</v>
      </c>
      <c r="T45" s="421">
        <v>43.7</v>
      </c>
      <c r="U45" s="422">
        <v>38.200000000000003</v>
      </c>
      <c r="V45" s="422">
        <v>5.48</v>
      </c>
      <c r="W45" s="222" t="s">
        <v>2704</v>
      </c>
      <c r="X45" s="240" t="s">
        <v>2832</v>
      </c>
      <c r="Y45" s="45" t="s">
        <v>2833</v>
      </c>
      <c r="Z45" s="248"/>
      <c r="AA45" s="248"/>
    </row>
    <row r="46" spans="1:27" s="190" customFormat="1">
      <c r="A46" s="2027" t="s">
        <v>3714</v>
      </c>
      <c r="B46" s="2028"/>
      <c r="C46" s="2028"/>
      <c r="D46" s="2028"/>
      <c r="E46" s="2028"/>
      <c r="F46" s="2028"/>
      <c r="G46" s="2028"/>
      <c r="H46" s="2028"/>
      <c r="I46" s="2028"/>
      <c r="J46" s="2028"/>
      <c r="K46" s="2028"/>
      <c r="L46" s="2028"/>
      <c r="M46" s="2028"/>
      <c r="N46" s="2028"/>
      <c r="O46" s="2028"/>
      <c r="P46" s="2028"/>
      <c r="Q46" s="2028"/>
      <c r="R46" s="2028"/>
      <c r="S46" s="2028"/>
      <c r="T46" s="2028"/>
      <c r="U46" s="2028"/>
      <c r="V46" s="2028"/>
      <c r="W46" s="2028"/>
      <c r="X46" s="2029"/>
      <c r="Y46" s="45"/>
      <c r="Z46" s="248"/>
      <c r="AA46" s="248"/>
    </row>
    <row r="47" spans="1:27" s="190" customFormat="1">
      <c r="A47" s="2030" t="s">
        <v>3715</v>
      </c>
      <c r="B47" s="2028"/>
      <c r="C47" s="2028"/>
      <c r="D47" s="2028"/>
      <c r="E47" s="2028"/>
      <c r="F47" s="2028"/>
      <c r="G47" s="2028"/>
      <c r="H47" s="2028"/>
      <c r="I47" s="2028"/>
      <c r="J47" s="2028"/>
      <c r="K47" s="2028"/>
      <c r="L47" s="2028"/>
      <c r="M47" s="2028"/>
      <c r="N47" s="2028"/>
      <c r="O47" s="2028"/>
      <c r="P47" s="2028"/>
      <c r="Q47" s="2028"/>
      <c r="R47" s="2028"/>
      <c r="S47" s="2028"/>
      <c r="T47" s="2028"/>
      <c r="U47" s="2028"/>
      <c r="V47" s="2028"/>
      <c r="W47" s="2028"/>
      <c r="X47" s="2029"/>
      <c r="Y47" s="45"/>
      <c r="Z47" s="248"/>
      <c r="AA47" s="248"/>
    </row>
    <row r="48" spans="1:27" s="190" customFormat="1">
      <c r="A48" s="118" t="s">
        <v>2834</v>
      </c>
      <c r="B48" s="738"/>
      <c r="C48" s="437" t="s">
        <v>2835</v>
      </c>
      <c r="D48" s="119"/>
      <c r="E48" s="437"/>
      <c r="F48" s="229"/>
      <c r="G48" s="229"/>
      <c r="H48" s="439"/>
      <c r="I48" s="439"/>
      <c r="J48" s="439"/>
      <c r="K48" s="439"/>
      <c r="L48" s="439"/>
      <c r="M48" s="439"/>
      <c r="N48" s="439"/>
      <c r="O48" s="439"/>
      <c r="P48" s="439"/>
      <c r="Q48" s="439"/>
      <c r="R48" s="439"/>
      <c r="S48" s="439"/>
      <c r="T48" s="439"/>
      <c r="U48" s="439"/>
      <c r="V48" s="439"/>
      <c r="W48" s="229"/>
      <c r="X48" s="437" t="s">
        <v>2836</v>
      </c>
      <c r="Y48" s="437"/>
      <c r="Z48" s="248"/>
      <c r="AA48" s="248"/>
    </row>
    <row r="49" spans="1:27" s="190" customFormat="1" ht="14.25">
      <c r="A49" s="121" t="s">
        <v>957</v>
      </c>
      <c r="B49" s="217" t="s">
        <v>2837</v>
      </c>
      <c r="C49" s="240" t="s">
        <v>956</v>
      </c>
      <c r="D49" s="122" t="s">
        <v>2838</v>
      </c>
      <c r="E49" s="122" t="s">
        <v>2839</v>
      </c>
      <c r="F49" s="222" t="s">
        <v>2628</v>
      </c>
      <c r="G49" s="123" t="s">
        <v>1019</v>
      </c>
      <c r="H49" s="419">
        <v>8490</v>
      </c>
      <c r="I49" s="420">
        <v>7280</v>
      </c>
      <c r="J49" s="420">
        <v>1200</v>
      </c>
      <c r="K49" s="421">
        <v>20.3</v>
      </c>
      <c r="L49" s="422">
        <v>20.100000000000001</v>
      </c>
      <c r="M49" s="422">
        <v>0.122</v>
      </c>
      <c r="N49" s="421">
        <v>1.2</v>
      </c>
      <c r="O49" s="422">
        <v>1.2</v>
      </c>
      <c r="P49" s="422">
        <v>6.5799999999999999E-3</v>
      </c>
      <c r="Q49" s="421">
        <v>19.100000000000001</v>
      </c>
      <c r="R49" s="422">
        <v>19</v>
      </c>
      <c r="S49" s="422">
        <v>0.115</v>
      </c>
      <c r="T49" s="421">
        <v>4.7300000000000004</v>
      </c>
      <c r="U49" s="422">
        <v>3.58</v>
      </c>
      <c r="V49" s="422">
        <v>1.1499999999999999</v>
      </c>
      <c r="W49" s="47" t="s">
        <v>251</v>
      </c>
      <c r="X49" s="109" t="s">
        <v>2840</v>
      </c>
      <c r="Y49" s="45" t="s">
        <v>2841</v>
      </c>
      <c r="Z49" s="248"/>
      <c r="AA49" s="248"/>
    </row>
    <row r="50" spans="1:27" s="190" customFormat="1" ht="14.25">
      <c r="A50" s="121" t="s">
        <v>960</v>
      </c>
      <c r="B50" s="217" t="s">
        <v>2842</v>
      </c>
      <c r="C50" s="240" t="s">
        <v>959</v>
      </c>
      <c r="D50" s="122" t="s">
        <v>2843</v>
      </c>
      <c r="E50" s="122" t="s">
        <v>2844</v>
      </c>
      <c r="F50" s="222" t="s">
        <v>2628</v>
      </c>
      <c r="G50" s="123" t="s">
        <v>1019</v>
      </c>
      <c r="H50" s="419">
        <v>21000</v>
      </c>
      <c r="I50" s="420">
        <v>17000</v>
      </c>
      <c r="J50" s="420">
        <v>3950</v>
      </c>
      <c r="K50" s="421">
        <v>48.9</v>
      </c>
      <c r="L50" s="422">
        <v>48.5</v>
      </c>
      <c r="M50" s="422">
        <v>0.44700000000000001</v>
      </c>
      <c r="N50" s="421">
        <v>3.37</v>
      </c>
      <c r="O50" s="422">
        <v>3.35</v>
      </c>
      <c r="P50" s="422">
        <v>2.0500000000000001E-2</v>
      </c>
      <c r="Q50" s="421">
        <v>45.6</v>
      </c>
      <c r="R50" s="422">
        <v>45.1</v>
      </c>
      <c r="S50" s="422">
        <v>0.42699999999999999</v>
      </c>
      <c r="T50" s="421">
        <v>12.3</v>
      </c>
      <c r="U50" s="422">
        <v>8.52</v>
      </c>
      <c r="V50" s="422">
        <v>3.76</v>
      </c>
      <c r="W50" s="47" t="s">
        <v>251</v>
      </c>
      <c r="X50" s="109" t="s">
        <v>2845</v>
      </c>
      <c r="Y50" s="45" t="s">
        <v>2846</v>
      </c>
      <c r="Z50" s="248"/>
      <c r="AA50" s="248"/>
    </row>
    <row r="51" spans="1:27" s="190" customFormat="1" ht="14.25">
      <c r="A51" s="121" t="s">
        <v>954</v>
      </c>
      <c r="B51" s="217" t="s">
        <v>2847</v>
      </c>
      <c r="C51" s="240" t="s">
        <v>953</v>
      </c>
      <c r="D51" s="122" t="s">
        <v>2848</v>
      </c>
      <c r="E51" s="122" t="s">
        <v>2849</v>
      </c>
      <c r="F51" s="222" t="s">
        <v>2628</v>
      </c>
      <c r="G51" s="123" t="s">
        <v>1019</v>
      </c>
      <c r="H51" s="419">
        <v>26300</v>
      </c>
      <c r="I51" s="420">
        <v>24700</v>
      </c>
      <c r="J51" s="420">
        <v>1670</v>
      </c>
      <c r="K51" s="421">
        <v>50.1</v>
      </c>
      <c r="L51" s="422">
        <v>49.8</v>
      </c>
      <c r="M51" s="422">
        <v>0.307</v>
      </c>
      <c r="N51" s="421">
        <v>3.96</v>
      </c>
      <c r="O51" s="422">
        <v>3.93</v>
      </c>
      <c r="P51" s="422">
        <v>2.3400000000000001E-2</v>
      </c>
      <c r="Q51" s="421">
        <v>46.1</v>
      </c>
      <c r="R51" s="422">
        <v>45.8</v>
      </c>
      <c r="S51" s="422">
        <v>0.28299999999999997</v>
      </c>
      <c r="T51" s="421">
        <v>12.5</v>
      </c>
      <c r="U51" s="422">
        <v>11</v>
      </c>
      <c r="V51" s="422">
        <v>1.54</v>
      </c>
      <c r="W51" s="47" t="s">
        <v>251</v>
      </c>
      <c r="X51" s="109" t="s">
        <v>2850</v>
      </c>
      <c r="Y51" s="45" t="s">
        <v>2851</v>
      </c>
      <c r="Z51" s="248"/>
      <c r="AA51" s="248"/>
    </row>
    <row r="52" spans="1:27" s="190" customFormat="1">
      <c r="A52" s="118" t="s">
        <v>2852</v>
      </c>
      <c r="B52" s="738"/>
      <c r="C52" s="437" t="s">
        <v>2853</v>
      </c>
      <c r="D52" s="119"/>
      <c r="E52" s="437"/>
      <c r="F52" s="229"/>
      <c r="G52" s="229"/>
      <c r="H52" s="439"/>
      <c r="I52" s="439"/>
      <c r="J52" s="439"/>
      <c r="K52" s="439"/>
      <c r="L52" s="439"/>
      <c r="M52" s="439"/>
      <c r="N52" s="439"/>
      <c r="O52" s="439"/>
      <c r="P52" s="439"/>
      <c r="Q52" s="439"/>
      <c r="R52" s="439"/>
      <c r="S52" s="439"/>
      <c r="T52" s="439"/>
      <c r="U52" s="439"/>
      <c r="V52" s="439"/>
      <c r="W52" s="229"/>
      <c r="X52" s="437" t="s">
        <v>2854</v>
      </c>
      <c r="Y52" s="437"/>
      <c r="Z52" s="248"/>
      <c r="AA52" s="248"/>
    </row>
    <row r="53" spans="1:27" s="235" customFormat="1" ht="25.5">
      <c r="A53" s="1227">
        <v>34.036999999999999</v>
      </c>
      <c r="B53" s="1228" t="s">
        <v>3716</v>
      </c>
      <c r="C53" s="424" t="s">
        <v>3717</v>
      </c>
      <c r="D53" s="1229" t="s">
        <v>1012</v>
      </c>
      <c r="E53" s="354" t="s">
        <v>2730</v>
      </c>
      <c r="F53" s="232" t="s">
        <v>3718</v>
      </c>
      <c r="G53" s="32" t="s">
        <v>186</v>
      </c>
      <c r="H53" s="427">
        <v>2100000</v>
      </c>
      <c r="I53" s="428">
        <v>2100000</v>
      </c>
      <c r="J53" s="428" t="s">
        <v>916</v>
      </c>
      <c r="K53" s="429">
        <v>3520</v>
      </c>
      <c r="L53" s="430">
        <v>3520</v>
      </c>
      <c r="M53" s="430" t="s">
        <v>916</v>
      </c>
      <c r="N53" s="429">
        <v>228</v>
      </c>
      <c r="O53" s="430">
        <v>228</v>
      </c>
      <c r="P53" s="430" t="s">
        <v>916</v>
      </c>
      <c r="Q53" s="429">
        <v>3290</v>
      </c>
      <c r="R53" s="430">
        <v>3290</v>
      </c>
      <c r="S53" s="430" t="s">
        <v>916</v>
      </c>
      <c r="T53" s="429">
        <v>730</v>
      </c>
      <c r="U53" s="430">
        <v>730</v>
      </c>
      <c r="V53" s="430" t="s">
        <v>916</v>
      </c>
      <c r="W53" s="32" t="s">
        <v>3719</v>
      </c>
      <c r="X53" s="332" t="s">
        <v>3720</v>
      </c>
      <c r="Y53" s="354" t="s">
        <v>3721</v>
      </c>
      <c r="Z53" s="431"/>
      <c r="AA53" s="431"/>
    </row>
    <row r="54" spans="1:27" s="235" customFormat="1" ht="25.5">
      <c r="A54" s="1227">
        <v>34.037999999999997</v>
      </c>
      <c r="B54" s="1228" t="s">
        <v>3722</v>
      </c>
      <c r="C54" s="424" t="s">
        <v>3723</v>
      </c>
      <c r="D54" s="1229" t="s">
        <v>1012</v>
      </c>
      <c r="E54" s="354" t="s">
        <v>2730</v>
      </c>
      <c r="F54" s="232" t="s">
        <v>3718</v>
      </c>
      <c r="G54" s="32" t="s">
        <v>186</v>
      </c>
      <c r="H54" s="427">
        <v>932000</v>
      </c>
      <c r="I54" s="428">
        <v>932000</v>
      </c>
      <c r="J54" s="428" t="s">
        <v>916</v>
      </c>
      <c r="K54" s="429">
        <v>1640</v>
      </c>
      <c r="L54" s="430">
        <v>1640</v>
      </c>
      <c r="M54" s="430" t="s">
        <v>916</v>
      </c>
      <c r="N54" s="429">
        <v>87.2</v>
      </c>
      <c r="O54" s="430">
        <v>87.2</v>
      </c>
      <c r="P54" s="430" t="s">
        <v>916</v>
      </c>
      <c r="Q54" s="429">
        <v>1550</v>
      </c>
      <c r="R54" s="430">
        <v>1550</v>
      </c>
      <c r="S54" s="430" t="s">
        <v>916</v>
      </c>
      <c r="T54" s="429">
        <v>332</v>
      </c>
      <c r="U54" s="430">
        <v>332</v>
      </c>
      <c r="V54" s="430" t="s">
        <v>916</v>
      </c>
      <c r="W54" s="32" t="s">
        <v>3719</v>
      </c>
      <c r="X54" s="332" t="s">
        <v>3724</v>
      </c>
      <c r="Y54" s="354" t="s">
        <v>3721</v>
      </c>
      <c r="Z54" s="431"/>
      <c r="AA54" s="431"/>
    </row>
    <row r="55" spans="1:27" s="190" customFormat="1" ht="14.25">
      <c r="A55" s="121" t="s">
        <v>910</v>
      </c>
      <c r="B55" s="217" t="s">
        <v>2855</v>
      </c>
      <c r="C55" s="240" t="s">
        <v>2856</v>
      </c>
      <c r="D55" s="122" t="s">
        <v>2857</v>
      </c>
      <c r="E55" s="122" t="s">
        <v>2858</v>
      </c>
      <c r="F55" s="222" t="s">
        <v>2628</v>
      </c>
      <c r="G55" s="123" t="s">
        <v>1019</v>
      </c>
      <c r="H55" s="419">
        <v>37000</v>
      </c>
      <c r="I55" s="420">
        <v>33400</v>
      </c>
      <c r="J55" s="420">
        <v>3630</v>
      </c>
      <c r="K55" s="421">
        <v>58.7</v>
      </c>
      <c r="L55" s="422">
        <v>57.9</v>
      </c>
      <c r="M55" s="422">
        <v>0.78100000000000003</v>
      </c>
      <c r="N55" s="421">
        <v>4.76</v>
      </c>
      <c r="O55" s="422">
        <v>4.7</v>
      </c>
      <c r="P55" s="422">
        <v>6.2199999999999998E-2</v>
      </c>
      <c r="Q55" s="421">
        <v>53.9</v>
      </c>
      <c r="R55" s="422">
        <v>53.2</v>
      </c>
      <c r="S55" s="422">
        <v>0.71799999999999997</v>
      </c>
      <c r="T55" s="421">
        <v>13</v>
      </c>
      <c r="U55" s="422">
        <v>9.5399999999999991</v>
      </c>
      <c r="V55" s="422">
        <v>3.42</v>
      </c>
      <c r="W55" s="47" t="s">
        <v>251</v>
      </c>
      <c r="X55" s="109" t="s">
        <v>2859</v>
      </c>
      <c r="Y55" s="45" t="s">
        <v>2860</v>
      </c>
      <c r="Z55" s="248"/>
      <c r="AA55" s="248"/>
    </row>
    <row r="56" spans="1:27" s="190" customFormat="1" ht="14.25">
      <c r="A56" s="121" t="s">
        <v>913</v>
      </c>
      <c r="B56" s="217" t="s">
        <v>2861</v>
      </c>
      <c r="C56" s="240" t="s">
        <v>2862</v>
      </c>
      <c r="D56" s="122" t="s">
        <v>2863</v>
      </c>
      <c r="E56" s="122" t="s">
        <v>2864</v>
      </c>
      <c r="F56" s="222" t="s">
        <v>2628</v>
      </c>
      <c r="G56" s="123" t="s">
        <v>1019</v>
      </c>
      <c r="H56" s="419">
        <v>83200</v>
      </c>
      <c r="I56" s="420">
        <v>81500</v>
      </c>
      <c r="J56" s="420">
        <v>1660</v>
      </c>
      <c r="K56" s="421">
        <v>183</v>
      </c>
      <c r="L56" s="422">
        <v>182</v>
      </c>
      <c r="M56" s="422">
        <v>0.86399999999999999</v>
      </c>
      <c r="N56" s="421">
        <v>77</v>
      </c>
      <c r="O56" s="422">
        <v>77</v>
      </c>
      <c r="P56" s="422">
        <v>5.3400000000000003E-2</v>
      </c>
      <c r="Q56" s="421">
        <v>106</v>
      </c>
      <c r="R56" s="422">
        <v>105</v>
      </c>
      <c r="S56" s="422">
        <v>0.81100000000000005</v>
      </c>
      <c r="T56" s="421">
        <v>24.1</v>
      </c>
      <c r="U56" s="422">
        <v>22.6</v>
      </c>
      <c r="V56" s="422">
        <v>1.47</v>
      </c>
      <c r="W56" s="47" t="s">
        <v>251</v>
      </c>
      <c r="X56" s="109" t="s">
        <v>2865</v>
      </c>
      <c r="Y56" s="45" t="s">
        <v>2866</v>
      </c>
      <c r="Z56" s="248"/>
      <c r="AA56" s="248"/>
    </row>
    <row r="57" spans="1:27" s="190" customFormat="1" ht="14.25">
      <c r="A57" s="121" t="s">
        <v>2867</v>
      </c>
      <c r="B57" s="217" t="s">
        <v>2868</v>
      </c>
      <c r="C57" s="440" t="s">
        <v>3725</v>
      </c>
      <c r="D57" s="441" t="s">
        <v>1012</v>
      </c>
      <c r="E57" s="433" t="s">
        <v>2730</v>
      </c>
      <c r="F57" s="222" t="s">
        <v>2869</v>
      </c>
      <c r="G57" s="123" t="s">
        <v>93</v>
      </c>
      <c r="H57" s="427">
        <v>2240000</v>
      </c>
      <c r="I57" s="428">
        <v>2240000</v>
      </c>
      <c r="J57" s="428" t="s">
        <v>916</v>
      </c>
      <c r="K57" s="429">
        <v>4240</v>
      </c>
      <c r="L57" s="430">
        <v>4240</v>
      </c>
      <c r="M57" s="430" t="s">
        <v>916</v>
      </c>
      <c r="N57" s="429">
        <v>421</v>
      </c>
      <c r="O57" s="430">
        <v>421</v>
      </c>
      <c r="P57" s="430" t="s">
        <v>916</v>
      </c>
      <c r="Q57" s="429">
        <v>3820</v>
      </c>
      <c r="R57" s="430">
        <v>3820</v>
      </c>
      <c r="S57" s="430" t="s">
        <v>916</v>
      </c>
      <c r="T57" s="429">
        <v>1070</v>
      </c>
      <c r="U57" s="430">
        <v>1070</v>
      </c>
      <c r="V57" s="430" t="s">
        <v>916</v>
      </c>
      <c r="W57" s="47" t="s">
        <v>2870</v>
      </c>
      <c r="X57" s="109" t="s">
        <v>3726</v>
      </c>
      <c r="Y57" s="435" t="s">
        <v>2734</v>
      </c>
      <c r="Z57" s="248"/>
      <c r="AA57" s="248"/>
    </row>
    <row r="58" spans="1:27" s="190" customFormat="1" ht="14.25">
      <c r="A58" s="121" t="s">
        <v>2871</v>
      </c>
      <c r="B58" s="217" t="s">
        <v>2872</v>
      </c>
      <c r="C58" s="440" t="s">
        <v>3727</v>
      </c>
      <c r="D58" s="441" t="s">
        <v>1012</v>
      </c>
      <c r="E58" s="433" t="s">
        <v>2730</v>
      </c>
      <c r="F58" s="222" t="s">
        <v>2869</v>
      </c>
      <c r="G58" s="123" t="s">
        <v>93</v>
      </c>
      <c r="H58" s="427">
        <v>2090000</v>
      </c>
      <c r="I58" s="428">
        <v>2090000</v>
      </c>
      <c r="J58" s="428" t="s">
        <v>916</v>
      </c>
      <c r="K58" s="429">
        <v>3970</v>
      </c>
      <c r="L58" s="430">
        <v>3970</v>
      </c>
      <c r="M58" s="430" t="s">
        <v>916</v>
      </c>
      <c r="N58" s="429">
        <v>396</v>
      </c>
      <c r="O58" s="430">
        <v>396</v>
      </c>
      <c r="P58" s="430" t="s">
        <v>916</v>
      </c>
      <c r="Q58" s="429">
        <v>3570</v>
      </c>
      <c r="R58" s="430">
        <v>3570</v>
      </c>
      <c r="S58" s="430" t="s">
        <v>916</v>
      </c>
      <c r="T58" s="429">
        <v>1000</v>
      </c>
      <c r="U58" s="430">
        <v>1000</v>
      </c>
      <c r="V58" s="430" t="s">
        <v>916</v>
      </c>
      <c r="W58" s="47" t="s">
        <v>2870</v>
      </c>
      <c r="X58" s="109" t="s">
        <v>3728</v>
      </c>
      <c r="Y58" s="435" t="s">
        <v>2734</v>
      </c>
      <c r="Z58" s="248"/>
      <c r="AA58" s="248"/>
    </row>
    <row r="59" spans="1:27" s="190" customFormat="1" ht="14.25">
      <c r="A59" s="121" t="s">
        <v>915</v>
      </c>
      <c r="B59" s="217" t="s">
        <v>2873</v>
      </c>
      <c r="C59" s="440" t="s">
        <v>3729</v>
      </c>
      <c r="D59" s="441" t="s">
        <v>1012</v>
      </c>
      <c r="E59" s="433" t="s">
        <v>2730</v>
      </c>
      <c r="F59" s="222" t="s">
        <v>2869</v>
      </c>
      <c r="G59" s="123" t="s">
        <v>93</v>
      </c>
      <c r="H59" s="427">
        <v>2370000</v>
      </c>
      <c r="I59" s="428">
        <v>2370000</v>
      </c>
      <c r="J59" s="428" t="s">
        <v>916</v>
      </c>
      <c r="K59" s="429">
        <v>4500</v>
      </c>
      <c r="L59" s="430">
        <v>4500</v>
      </c>
      <c r="M59" s="430" t="s">
        <v>916</v>
      </c>
      <c r="N59" s="429">
        <v>444</v>
      </c>
      <c r="O59" s="430">
        <v>444</v>
      </c>
      <c r="P59" s="430" t="s">
        <v>916</v>
      </c>
      <c r="Q59" s="429">
        <v>4060</v>
      </c>
      <c r="R59" s="430">
        <v>4060</v>
      </c>
      <c r="S59" s="430" t="s">
        <v>916</v>
      </c>
      <c r="T59" s="429">
        <v>1140</v>
      </c>
      <c r="U59" s="430">
        <v>1140</v>
      </c>
      <c r="V59" s="430" t="s">
        <v>916</v>
      </c>
      <c r="W59" s="47" t="s">
        <v>2870</v>
      </c>
      <c r="X59" s="109" t="s">
        <v>3730</v>
      </c>
      <c r="Y59" s="435" t="s">
        <v>2734</v>
      </c>
      <c r="Z59" s="248"/>
      <c r="AA59" s="248"/>
    </row>
    <row r="60" spans="1:27" s="190" customFormat="1" ht="14.25">
      <c r="A60" s="121" t="s">
        <v>2874</v>
      </c>
      <c r="B60" s="217" t="s">
        <v>2875</v>
      </c>
      <c r="C60" s="440" t="s">
        <v>3731</v>
      </c>
      <c r="D60" s="441" t="s">
        <v>1012</v>
      </c>
      <c r="E60" s="433" t="s">
        <v>2730</v>
      </c>
      <c r="F60" s="222" t="s">
        <v>2869</v>
      </c>
      <c r="G60" s="123" t="s">
        <v>93</v>
      </c>
      <c r="H60" s="427">
        <v>2890000</v>
      </c>
      <c r="I60" s="428">
        <v>2890000</v>
      </c>
      <c r="J60" s="428" t="s">
        <v>916</v>
      </c>
      <c r="K60" s="429">
        <v>4930</v>
      </c>
      <c r="L60" s="430">
        <v>4930</v>
      </c>
      <c r="M60" s="430" t="s">
        <v>916</v>
      </c>
      <c r="N60" s="429">
        <v>497</v>
      </c>
      <c r="O60" s="430">
        <v>497</v>
      </c>
      <c r="P60" s="430" t="s">
        <v>916</v>
      </c>
      <c r="Q60" s="429">
        <v>4430</v>
      </c>
      <c r="R60" s="430">
        <v>4430</v>
      </c>
      <c r="S60" s="430" t="s">
        <v>916</v>
      </c>
      <c r="T60" s="429">
        <v>1220</v>
      </c>
      <c r="U60" s="430">
        <v>1220</v>
      </c>
      <c r="V60" s="430" t="s">
        <v>916</v>
      </c>
      <c r="W60" s="47" t="s">
        <v>2870</v>
      </c>
      <c r="X60" s="109" t="s">
        <v>3732</v>
      </c>
      <c r="Y60" s="435" t="s">
        <v>2734</v>
      </c>
      <c r="Z60" s="248"/>
      <c r="AA60" s="248"/>
    </row>
    <row r="61" spans="1:27" s="190" customFormat="1" ht="14.25" outlineLevel="1">
      <c r="A61" s="442" t="s">
        <v>2876</v>
      </c>
      <c r="B61" s="692" t="s">
        <v>2877</v>
      </c>
      <c r="C61" s="443" t="s">
        <v>2878</v>
      </c>
      <c r="D61" s="444" t="s">
        <v>2879</v>
      </c>
      <c r="E61" s="444" t="s">
        <v>2880</v>
      </c>
      <c r="F61" s="445" t="s">
        <v>2881</v>
      </c>
      <c r="G61" s="446" t="s">
        <v>1449</v>
      </c>
      <c r="H61" s="447">
        <v>5860</v>
      </c>
      <c r="I61" s="448">
        <v>5810</v>
      </c>
      <c r="J61" s="448">
        <v>44</v>
      </c>
      <c r="K61" s="449">
        <v>16.100000000000001</v>
      </c>
      <c r="L61" s="450">
        <v>16.100000000000001</v>
      </c>
      <c r="M61" s="450">
        <v>3.0999999999999999E-3</v>
      </c>
      <c r="N61" s="449">
        <v>4.16</v>
      </c>
      <c r="O61" s="450">
        <v>4.16</v>
      </c>
      <c r="P61" s="450">
        <v>9.8499999999999995E-5</v>
      </c>
      <c r="Q61" s="449">
        <v>11.9</v>
      </c>
      <c r="R61" s="450">
        <v>11.9</v>
      </c>
      <c r="S61" s="450">
        <v>3.0000000000000001E-3</v>
      </c>
      <c r="T61" s="449">
        <v>2.69</v>
      </c>
      <c r="U61" s="450">
        <v>2.65</v>
      </c>
      <c r="V61" s="450">
        <v>4.2200000000000001E-2</v>
      </c>
      <c r="W61" s="63" t="s">
        <v>2882</v>
      </c>
      <c r="X61" s="332" t="s">
        <v>2883</v>
      </c>
      <c r="Y61" s="60" t="s">
        <v>2884</v>
      </c>
      <c r="Z61" s="248"/>
      <c r="AA61" s="248"/>
    </row>
    <row r="62" spans="1:27" s="190" customFormat="1" ht="14.25" outlineLevel="1">
      <c r="A62" s="442" t="s">
        <v>2885</v>
      </c>
      <c r="B62" s="692" t="s">
        <v>2886</v>
      </c>
      <c r="C62" s="443" t="s">
        <v>2887</v>
      </c>
      <c r="D62" s="444" t="s">
        <v>2888</v>
      </c>
      <c r="E62" s="444" t="s">
        <v>2889</v>
      </c>
      <c r="F62" s="445" t="s">
        <v>2881</v>
      </c>
      <c r="G62" s="446" t="s">
        <v>1449</v>
      </c>
      <c r="H62" s="447">
        <v>60300</v>
      </c>
      <c r="I62" s="448">
        <v>60200</v>
      </c>
      <c r="J62" s="448">
        <v>99.7</v>
      </c>
      <c r="K62" s="449">
        <v>142</v>
      </c>
      <c r="L62" s="450">
        <v>142</v>
      </c>
      <c r="M62" s="450">
        <v>7.0299999999999998E-3</v>
      </c>
      <c r="N62" s="449">
        <v>21.1</v>
      </c>
      <c r="O62" s="450">
        <v>21.1</v>
      </c>
      <c r="P62" s="450">
        <v>2.23E-4</v>
      </c>
      <c r="Q62" s="449">
        <v>121</v>
      </c>
      <c r="R62" s="450">
        <v>121</v>
      </c>
      <c r="S62" s="450">
        <v>6.7999999999999996E-3</v>
      </c>
      <c r="T62" s="449">
        <v>28.5</v>
      </c>
      <c r="U62" s="450">
        <v>28.4</v>
      </c>
      <c r="V62" s="450">
        <v>9.5600000000000004E-2</v>
      </c>
      <c r="W62" s="63" t="s">
        <v>2882</v>
      </c>
      <c r="X62" s="332" t="s">
        <v>2890</v>
      </c>
      <c r="Y62" s="60" t="s">
        <v>2891</v>
      </c>
      <c r="Z62" s="248"/>
      <c r="AA62" s="248"/>
    </row>
    <row r="63" spans="1:27" s="190" customFormat="1" ht="25.5" outlineLevel="1">
      <c r="A63" s="442" t="s">
        <v>2892</v>
      </c>
      <c r="B63" s="692" t="s">
        <v>2893</v>
      </c>
      <c r="C63" s="443" t="s">
        <v>2894</v>
      </c>
      <c r="D63" s="444" t="s">
        <v>2895</v>
      </c>
      <c r="E63" s="444" t="s">
        <v>2896</v>
      </c>
      <c r="F63" s="445" t="s">
        <v>2881</v>
      </c>
      <c r="G63" s="446" t="s">
        <v>1449</v>
      </c>
      <c r="H63" s="447">
        <v>83600</v>
      </c>
      <c r="I63" s="448">
        <v>83500</v>
      </c>
      <c r="J63" s="448">
        <v>99.7</v>
      </c>
      <c r="K63" s="449">
        <v>199</v>
      </c>
      <c r="L63" s="450">
        <v>199</v>
      </c>
      <c r="M63" s="450">
        <v>7.0299999999999998E-3</v>
      </c>
      <c r="N63" s="449">
        <v>31.8</v>
      </c>
      <c r="O63" s="450">
        <v>31.8</v>
      </c>
      <c r="P63" s="450">
        <v>2.23E-4</v>
      </c>
      <c r="Q63" s="449">
        <v>167</v>
      </c>
      <c r="R63" s="450">
        <v>167</v>
      </c>
      <c r="S63" s="450">
        <v>6.7999999999999996E-3</v>
      </c>
      <c r="T63" s="449">
        <v>39.1</v>
      </c>
      <c r="U63" s="450">
        <v>39</v>
      </c>
      <c r="V63" s="450">
        <v>9.5600000000000004E-2</v>
      </c>
      <c r="W63" s="63" t="s">
        <v>2882</v>
      </c>
      <c r="X63" s="332" t="s">
        <v>2897</v>
      </c>
      <c r="Y63" s="60" t="s">
        <v>2898</v>
      </c>
      <c r="Z63" s="248"/>
      <c r="AA63" s="248"/>
    </row>
    <row r="64" spans="1:27" s="190" customFormat="1" ht="14.25" outlineLevel="1">
      <c r="A64" s="442" t="s">
        <v>2899</v>
      </c>
      <c r="B64" s="692" t="s">
        <v>2900</v>
      </c>
      <c r="C64" s="443" t="s">
        <v>2901</v>
      </c>
      <c r="D64" s="444" t="s">
        <v>2902</v>
      </c>
      <c r="E64" s="444" t="s">
        <v>2903</v>
      </c>
      <c r="F64" s="445" t="s">
        <v>2881</v>
      </c>
      <c r="G64" s="446" t="s">
        <v>1449</v>
      </c>
      <c r="H64" s="447">
        <v>85400</v>
      </c>
      <c r="I64" s="448">
        <v>84100</v>
      </c>
      <c r="J64" s="448">
        <v>1270</v>
      </c>
      <c r="K64" s="449">
        <v>218</v>
      </c>
      <c r="L64" s="450">
        <v>218</v>
      </c>
      <c r="M64" s="450">
        <v>9.8500000000000004E-2</v>
      </c>
      <c r="N64" s="449">
        <v>33.299999999999997</v>
      </c>
      <c r="O64" s="450">
        <v>33.299999999999997</v>
      </c>
      <c r="P64" s="450">
        <v>3.6900000000000001E-3</v>
      </c>
      <c r="Q64" s="449">
        <v>184</v>
      </c>
      <c r="R64" s="450">
        <v>184</v>
      </c>
      <c r="S64" s="450">
        <v>9.4799999999999995E-2</v>
      </c>
      <c r="T64" s="449">
        <v>42.1</v>
      </c>
      <c r="U64" s="450">
        <v>40.9</v>
      </c>
      <c r="V64" s="450">
        <v>1.22</v>
      </c>
      <c r="W64" s="63" t="s">
        <v>2882</v>
      </c>
      <c r="X64" s="332" t="s">
        <v>2904</v>
      </c>
      <c r="Y64" s="60" t="s">
        <v>2905</v>
      </c>
      <c r="Z64" s="248"/>
      <c r="AA64" s="248"/>
    </row>
    <row r="65" spans="1:27" s="190" customFormat="1" ht="14.25" outlineLevel="1">
      <c r="A65" s="442" t="s">
        <v>2906</v>
      </c>
      <c r="B65" s="692" t="s">
        <v>2907</v>
      </c>
      <c r="C65" s="443" t="s">
        <v>2908</v>
      </c>
      <c r="D65" s="444" t="s">
        <v>2909</v>
      </c>
      <c r="E65" s="444" t="s">
        <v>2910</v>
      </c>
      <c r="F65" s="445" t="s">
        <v>2881</v>
      </c>
      <c r="G65" s="446" t="s">
        <v>1449</v>
      </c>
      <c r="H65" s="447">
        <v>32500</v>
      </c>
      <c r="I65" s="448">
        <v>31900</v>
      </c>
      <c r="J65" s="448">
        <v>586</v>
      </c>
      <c r="K65" s="449">
        <v>133</v>
      </c>
      <c r="L65" s="450">
        <v>133</v>
      </c>
      <c r="M65" s="450">
        <v>4.1300000000000003E-2</v>
      </c>
      <c r="N65" s="449">
        <v>79.599999999999994</v>
      </c>
      <c r="O65" s="450">
        <v>79.599999999999994</v>
      </c>
      <c r="P65" s="450">
        <v>1.31E-3</v>
      </c>
      <c r="Q65" s="449">
        <v>53.5</v>
      </c>
      <c r="R65" s="450">
        <v>53.5</v>
      </c>
      <c r="S65" s="450">
        <v>0.04</v>
      </c>
      <c r="T65" s="449">
        <v>14.5</v>
      </c>
      <c r="U65" s="450">
        <v>13.9</v>
      </c>
      <c r="V65" s="450">
        <v>0.56299999999999994</v>
      </c>
      <c r="W65" s="63" t="s">
        <v>2882</v>
      </c>
      <c r="X65" s="332" t="s">
        <v>2911</v>
      </c>
      <c r="Y65" s="60" t="s">
        <v>2912</v>
      </c>
      <c r="Z65" s="248"/>
      <c r="AA65" s="248"/>
    </row>
    <row r="66" spans="1:27" s="190" customFormat="1" ht="25.5" outlineLevel="1">
      <c r="A66" s="442" t="s">
        <v>2913</v>
      </c>
      <c r="B66" s="692" t="s">
        <v>2914</v>
      </c>
      <c r="C66" s="443" t="s">
        <v>2915</v>
      </c>
      <c r="D66" s="444" t="s">
        <v>2916</v>
      </c>
      <c r="E66" s="444" t="s">
        <v>2917</v>
      </c>
      <c r="F66" s="445" t="s">
        <v>2881</v>
      </c>
      <c r="G66" s="446" t="s">
        <v>1449</v>
      </c>
      <c r="H66" s="447">
        <v>99800</v>
      </c>
      <c r="I66" s="448">
        <v>98600</v>
      </c>
      <c r="J66" s="448">
        <v>1200</v>
      </c>
      <c r="K66" s="449">
        <v>260</v>
      </c>
      <c r="L66" s="450">
        <v>260</v>
      </c>
      <c r="M66" s="450">
        <v>8.4699999999999998E-2</v>
      </c>
      <c r="N66" s="449">
        <v>38.6</v>
      </c>
      <c r="O66" s="450">
        <v>38.6</v>
      </c>
      <c r="P66" s="450">
        <v>2.6900000000000001E-3</v>
      </c>
      <c r="Q66" s="449">
        <v>222</v>
      </c>
      <c r="R66" s="450">
        <v>222</v>
      </c>
      <c r="S66" s="450">
        <v>8.2000000000000003E-2</v>
      </c>
      <c r="T66" s="449">
        <v>50.1</v>
      </c>
      <c r="U66" s="450">
        <v>49</v>
      </c>
      <c r="V66" s="450">
        <v>1.1499999999999999</v>
      </c>
      <c r="W66" s="63" t="s">
        <v>2882</v>
      </c>
      <c r="X66" s="332" t="s">
        <v>2918</v>
      </c>
      <c r="Y66" s="60" t="s">
        <v>2919</v>
      </c>
      <c r="Z66" s="248"/>
      <c r="AA66" s="248"/>
    </row>
    <row r="67" spans="1:27" s="190" customFormat="1" ht="25.5" outlineLevel="1">
      <c r="A67" s="442" t="s">
        <v>2920</v>
      </c>
      <c r="B67" s="692" t="s">
        <v>2921</v>
      </c>
      <c r="C67" s="443" t="s">
        <v>2922</v>
      </c>
      <c r="D67" s="444" t="s">
        <v>2923</v>
      </c>
      <c r="E67" s="444" t="s">
        <v>2924</v>
      </c>
      <c r="F67" s="445" t="s">
        <v>2881</v>
      </c>
      <c r="G67" s="446" t="s">
        <v>1449</v>
      </c>
      <c r="H67" s="447">
        <v>117000</v>
      </c>
      <c r="I67" s="448">
        <v>116000</v>
      </c>
      <c r="J67" s="448">
        <v>1790</v>
      </c>
      <c r="K67" s="449">
        <v>305</v>
      </c>
      <c r="L67" s="450">
        <v>305</v>
      </c>
      <c r="M67" s="450">
        <v>0.126</v>
      </c>
      <c r="N67" s="449">
        <v>44.5</v>
      </c>
      <c r="O67" s="450">
        <v>44.5</v>
      </c>
      <c r="P67" s="450">
        <v>4.0099999999999997E-3</v>
      </c>
      <c r="Q67" s="449">
        <v>261</v>
      </c>
      <c r="R67" s="450">
        <v>261</v>
      </c>
      <c r="S67" s="450">
        <v>0.122</v>
      </c>
      <c r="T67" s="449">
        <v>59.4</v>
      </c>
      <c r="U67" s="450">
        <v>57.7</v>
      </c>
      <c r="V67" s="450">
        <v>1.72</v>
      </c>
      <c r="W67" s="63" t="s">
        <v>2882</v>
      </c>
      <c r="X67" s="332" t="s">
        <v>2925</v>
      </c>
      <c r="Y67" s="60" t="s">
        <v>2926</v>
      </c>
      <c r="Z67" s="248"/>
      <c r="AA67" s="248"/>
    </row>
    <row r="68" spans="1:27" s="190" customFormat="1" ht="14.25" outlineLevel="1">
      <c r="A68" s="442" t="s">
        <v>2927</v>
      </c>
      <c r="B68" s="692" t="s">
        <v>2928</v>
      </c>
      <c r="C68" s="443" t="s">
        <v>2929</v>
      </c>
      <c r="D68" s="444" t="s">
        <v>2930</v>
      </c>
      <c r="E68" s="444" t="s">
        <v>2931</v>
      </c>
      <c r="F68" s="445" t="s">
        <v>2881</v>
      </c>
      <c r="G68" s="446" t="s">
        <v>1449</v>
      </c>
      <c r="H68" s="447">
        <v>110000</v>
      </c>
      <c r="I68" s="448">
        <v>109000</v>
      </c>
      <c r="J68" s="448">
        <v>1550</v>
      </c>
      <c r="K68" s="449">
        <v>287</v>
      </c>
      <c r="L68" s="450">
        <v>287</v>
      </c>
      <c r="M68" s="450">
        <v>0.11</v>
      </c>
      <c r="N68" s="449">
        <v>42.1</v>
      </c>
      <c r="O68" s="450">
        <v>42.1</v>
      </c>
      <c r="P68" s="450">
        <v>3.48E-3</v>
      </c>
      <c r="Q68" s="449">
        <v>245</v>
      </c>
      <c r="R68" s="450">
        <v>245</v>
      </c>
      <c r="S68" s="450">
        <v>0.106</v>
      </c>
      <c r="T68" s="449">
        <v>55.7</v>
      </c>
      <c r="U68" s="450">
        <v>54.2</v>
      </c>
      <c r="V68" s="450">
        <v>1.49</v>
      </c>
      <c r="W68" s="63" t="s">
        <v>2882</v>
      </c>
      <c r="X68" s="332" t="s">
        <v>2932</v>
      </c>
      <c r="Y68" s="60" t="s">
        <v>2933</v>
      </c>
      <c r="Z68" s="248"/>
      <c r="AA68" s="248"/>
    </row>
    <row r="69" spans="1:27" s="190" customFormat="1" ht="14.25" outlineLevel="1">
      <c r="A69" s="442" t="s">
        <v>2934</v>
      </c>
      <c r="B69" s="692" t="s">
        <v>2935</v>
      </c>
      <c r="C69" s="443" t="s">
        <v>2936</v>
      </c>
      <c r="D69" s="442" t="s">
        <v>2937</v>
      </c>
      <c r="E69" s="444" t="s">
        <v>2938</v>
      </c>
      <c r="F69" s="445" t="s">
        <v>2881</v>
      </c>
      <c r="G69" s="446" t="s">
        <v>1449</v>
      </c>
      <c r="H69" s="447">
        <v>242000</v>
      </c>
      <c r="I69" s="448">
        <v>234000</v>
      </c>
      <c r="J69" s="448">
        <v>7400</v>
      </c>
      <c r="K69" s="449">
        <v>511</v>
      </c>
      <c r="L69" s="450">
        <v>502</v>
      </c>
      <c r="M69" s="450">
        <v>8.89</v>
      </c>
      <c r="N69" s="449">
        <v>44.5</v>
      </c>
      <c r="O69" s="450">
        <v>43.9</v>
      </c>
      <c r="P69" s="450">
        <v>0.56399999999999995</v>
      </c>
      <c r="Q69" s="449">
        <v>467</v>
      </c>
      <c r="R69" s="450">
        <v>458</v>
      </c>
      <c r="S69" s="450">
        <v>8.31</v>
      </c>
      <c r="T69" s="449">
        <v>132</v>
      </c>
      <c r="U69" s="450">
        <v>126</v>
      </c>
      <c r="V69" s="450">
        <v>5.39</v>
      </c>
      <c r="W69" s="63" t="s">
        <v>2882</v>
      </c>
      <c r="X69" s="332" t="s">
        <v>2939</v>
      </c>
      <c r="Y69" s="60" t="s">
        <v>2940</v>
      </c>
      <c r="Z69" s="248"/>
      <c r="AA69" s="248"/>
    </row>
    <row r="70" spans="1:27" s="190" customFormat="1" ht="14.25" outlineLevel="1">
      <c r="A70" s="442" t="s">
        <v>2941</v>
      </c>
      <c r="B70" s="692" t="s">
        <v>2942</v>
      </c>
      <c r="C70" s="443" t="s">
        <v>2943</v>
      </c>
      <c r="D70" s="442" t="s">
        <v>2937</v>
      </c>
      <c r="E70" s="444" t="s">
        <v>2938</v>
      </c>
      <c r="F70" s="445" t="s">
        <v>2881</v>
      </c>
      <c r="G70" s="446" t="s">
        <v>1449</v>
      </c>
      <c r="H70" s="447">
        <v>243000</v>
      </c>
      <c r="I70" s="448">
        <v>235000</v>
      </c>
      <c r="J70" s="448">
        <v>7870</v>
      </c>
      <c r="K70" s="449">
        <v>512</v>
      </c>
      <c r="L70" s="450">
        <v>503</v>
      </c>
      <c r="M70" s="450">
        <v>9.4499999999999993</v>
      </c>
      <c r="N70" s="449">
        <v>44.7</v>
      </c>
      <c r="O70" s="450">
        <v>44.1</v>
      </c>
      <c r="P70" s="450">
        <v>0.59899999999999998</v>
      </c>
      <c r="Q70" s="449">
        <v>468</v>
      </c>
      <c r="R70" s="450">
        <v>459</v>
      </c>
      <c r="S70" s="450">
        <v>8.84</v>
      </c>
      <c r="T70" s="449">
        <v>133</v>
      </c>
      <c r="U70" s="450">
        <v>127</v>
      </c>
      <c r="V70" s="450">
        <v>5.73</v>
      </c>
      <c r="W70" s="63" t="s">
        <v>2882</v>
      </c>
      <c r="X70" s="332" t="s">
        <v>2944</v>
      </c>
      <c r="Y70" s="60" t="s">
        <v>2940</v>
      </c>
      <c r="Z70" s="248"/>
      <c r="AA70" s="248"/>
    </row>
    <row r="71" spans="1:27" s="190" customFormat="1" ht="14.25" outlineLevel="1">
      <c r="A71" s="442" t="s">
        <v>2945</v>
      </c>
      <c r="B71" s="692" t="s">
        <v>2946</v>
      </c>
      <c r="C71" s="443" t="s">
        <v>2947</v>
      </c>
      <c r="D71" s="442" t="s">
        <v>2937</v>
      </c>
      <c r="E71" s="444" t="s">
        <v>2938</v>
      </c>
      <c r="F71" s="445" t="s">
        <v>2881</v>
      </c>
      <c r="G71" s="446" t="s">
        <v>1449</v>
      </c>
      <c r="H71" s="447">
        <v>243000</v>
      </c>
      <c r="I71" s="448">
        <v>235000</v>
      </c>
      <c r="J71" s="448">
        <v>8050</v>
      </c>
      <c r="K71" s="449">
        <v>517</v>
      </c>
      <c r="L71" s="450">
        <v>507</v>
      </c>
      <c r="M71" s="450">
        <v>9.66</v>
      </c>
      <c r="N71" s="449">
        <v>45.1</v>
      </c>
      <c r="O71" s="450">
        <v>44.5</v>
      </c>
      <c r="P71" s="450">
        <v>0.61299999999999999</v>
      </c>
      <c r="Q71" s="449">
        <v>471</v>
      </c>
      <c r="R71" s="450">
        <v>462</v>
      </c>
      <c r="S71" s="450">
        <v>9.0399999999999991</v>
      </c>
      <c r="T71" s="449">
        <v>134</v>
      </c>
      <c r="U71" s="450">
        <v>128</v>
      </c>
      <c r="V71" s="450">
        <v>5.86</v>
      </c>
      <c r="W71" s="63" t="s">
        <v>2882</v>
      </c>
      <c r="X71" s="332" t="s">
        <v>2948</v>
      </c>
      <c r="Y71" s="60" t="s">
        <v>2940</v>
      </c>
      <c r="Z71" s="248"/>
      <c r="AA71" s="248"/>
    </row>
    <row r="72" spans="1:27" s="190" customFormat="1" ht="14.25" outlineLevel="1">
      <c r="A72" s="442" t="s">
        <v>2949</v>
      </c>
      <c r="B72" s="692" t="s">
        <v>2950</v>
      </c>
      <c r="C72" s="443" t="s">
        <v>2951</v>
      </c>
      <c r="D72" s="451" t="s">
        <v>2952</v>
      </c>
      <c r="E72" s="444" t="s">
        <v>2953</v>
      </c>
      <c r="F72" s="445" t="s">
        <v>2881</v>
      </c>
      <c r="G72" s="446" t="s">
        <v>1449</v>
      </c>
      <c r="H72" s="447">
        <v>182000</v>
      </c>
      <c r="I72" s="448">
        <v>171000</v>
      </c>
      <c r="J72" s="448">
        <v>11100</v>
      </c>
      <c r="K72" s="449">
        <v>458</v>
      </c>
      <c r="L72" s="450">
        <v>429</v>
      </c>
      <c r="M72" s="450">
        <v>28.5</v>
      </c>
      <c r="N72" s="449">
        <v>40</v>
      </c>
      <c r="O72" s="450">
        <v>38.5</v>
      </c>
      <c r="P72" s="450">
        <v>1.55</v>
      </c>
      <c r="Q72" s="449">
        <v>418</v>
      </c>
      <c r="R72" s="450">
        <v>391</v>
      </c>
      <c r="S72" s="450">
        <v>26.9</v>
      </c>
      <c r="T72" s="449">
        <v>102</v>
      </c>
      <c r="U72" s="450">
        <v>96.2</v>
      </c>
      <c r="V72" s="450">
        <v>6.08</v>
      </c>
      <c r="W72" s="63" t="s">
        <v>2882</v>
      </c>
      <c r="X72" s="332" t="s">
        <v>2954</v>
      </c>
      <c r="Y72" s="60" t="s">
        <v>2955</v>
      </c>
      <c r="Z72" s="248"/>
      <c r="AA72" s="248"/>
    </row>
    <row r="73" spans="1:27" s="190" customFormat="1" ht="14.25" outlineLevel="1">
      <c r="A73" s="442" t="s">
        <v>2956</v>
      </c>
      <c r="B73" s="692" t="s">
        <v>2957</v>
      </c>
      <c r="C73" s="443" t="s">
        <v>2958</v>
      </c>
      <c r="D73" s="451" t="s">
        <v>2952</v>
      </c>
      <c r="E73" s="452" t="s">
        <v>2953</v>
      </c>
      <c r="F73" s="445" t="s">
        <v>2881</v>
      </c>
      <c r="G73" s="446" t="s">
        <v>1449</v>
      </c>
      <c r="H73" s="447">
        <v>147000</v>
      </c>
      <c r="I73" s="448">
        <v>137000</v>
      </c>
      <c r="J73" s="448">
        <v>10000</v>
      </c>
      <c r="K73" s="449">
        <v>391</v>
      </c>
      <c r="L73" s="450">
        <v>365</v>
      </c>
      <c r="M73" s="450">
        <v>25.7</v>
      </c>
      <c r="N73" s="449">
        <v>26.6</v>
      </c>
      <c r="O73" s="450">
        <v>25.2</v>
      </c>
      <c r="P73" s="450">
        <v>1.4</v>
      </c>
      <c r="Q73" s="449">
        <v>364</v>
      </c>
      <c r="R73" s="450">
        <v>340</v>
      </c>
      <c r="S73" s="450">
        <v>24.3</v>
      </c>
      <c r="T73" s="449">
        <v>85.9</v>
      </c>
      <c r="U73" s="450">
        <v>80.400000000000006</v>
      </c>
      <c r="V73" s="450">
        <v>5.49</v>
      </c>
      <c r="W73" s="63" t="s">
        <v>2882</v>
      </c>
      <c r="X73" s="332" t="s">
        <v>2959</v>
      </c>
      <c r="Y73" s="453" t="s">
        <v>2955</v>
      </c>
      <c r="Z73" s="248"/>
      <c r="AA73" s="248"/>
    </row>
    <row r="74" spans="1:27" s="235" customFormat="1" ht="14.25">
      <c r="A74" s="226" t="s">
        <v>2960</v>
      </c>
      <c r="B74" s="217" t="s">
        <v>2961</v>
      </c>
      <c r="C74" s="424" t="s">
        <v>3733</v>
      </c>
      <c r="D74" s="441" t="s">
        <v>1012</v>
      </c>
      <c r="E74" s="433" t="s">
        <v>2730</v>
      </c>
      <c r="F74" s="232" t="s">
        <v>2869</v>
      </c>
      <c r="G74" s="426" t="s">
        <v>93</v>
      </c>
      <c r="H74" s="427">
        <v>2940000</v>
      </c>
      <c r="I74" s="428">
        <v>2940000</v>
      </c>
      <c r="J74" s="428" t="s">
        <v>916</v>
      </c>
      <c r="K74" s="429">
        <v>5040</v>
      </c>
      <c r="L74" s="430">
        <v>5040</v>
      </c>
      <c r="M74" s="430" t="s">
        <v>916</v>
      </c>
      <c r="N74" s="429">
        <v>512</v>
      </c>
      <c r="O74" s="430">
        <v>512</v>
      </c>
      <c r="P74" s="430" t="s">
        <v>916</v>
      </c>
      <c r="Q74" s="429">
        <v>4530</v>
      </c>
      <c r="R74" s="430">
        <v>4530</v>
      </c>
      <c r="S74" s="430" t="s">
        <v>916</v>
      </c>
      <c r="T74" s="429">
        <v>1260</v>
      </c>
      <c r="U74" s="430">
        <v>1260</v>
      </c>
      <c r="V74" s="430" t="s">
        <v>916</v>
      </c>
      <c r="W74" s="32" t="s">
        <v>2870</v>
      </c>
      <c r="X74" s="332" t="s">
        <v>3734</v>
      </c>
      <c r="Y74" s="435" t="s">
        <v>2734</v>
      </c>
      <c r="Z74" s="431"/>
      <c r="AA74" s="431"/>
    </row>
    <row r="75" spans="1:27" s="235" customFormat="1" ht="14.25">
      <c r="A75" s="226" t="s">
        <v>2962</v>
      </c>
      <c r="B75" s="217" t="s">
        <v>2963</v>
      </c>
      <c r="C75" s="424" t="s">
        <v>3735</v>
      </c>
      <c r="D75" s="441" t="s">
        <v>1012</v>
      </c>
      <c r="E75" s="433" t="s">
        <v>2730</v>
      </c>
      <c r="F75" s="232" t="s">
        <v>2869</v>
      </c>
      <c r="G75" s="426" t="s">
        <v>93</v>
      </c>
      <c r="H75" s="427">
        <v>2980000</v>
      </c>
      <c r="I75" s="428">
        <v>2980000</v>
      </c>
      <c r="J75" s="428" t="s">
        <v>916</v>
      </c>
      <c r="K75" s="429">
        <v>5090</v>
      </c>
      <c r="L75" s="430">
        <v>5090</v>
      </c>
      <c r="M75" s="430" t="s">
        <v>916</v>
      </c>
      <c r="N75" s="429">
        <v>530</v>
      </c>
      <c r="O75" s="430">
        <v>530</v>
      </c>
      <c r="P75" s="430" t="s">
        <v>916</v>
      </c>
      <c r="Q75" s="429">
        <v>4560</v>
      </c>
      <c r="R75" s="430">
        <v>4560</v>
      </c>
      <c r="S75" s="430" t="s">
        <v>916</v>
      </c>
      <c r="T75" s="429">
        <v>1250</v>
      </c>
      <c r="U75" s="430">
        <v>1250</v>
      </c>
      <c r="V75" s="430" t="s">
        <v>916</v>
      </c>
      <c r="W75" s="32" t="s">
        <v>2870</v>
      </c>
      <c r="X75" s="332" t="s">
        <v>3736</v>
      </c>
      <c r="Y75" s="435" t="s">
        <v>2734</v>
      </c>
      <c r="Z75" s="431"/>
      <c r="AA75" s="431"/>
    </row>
    <row r="76" spans="1:27" s="235" customFormat="1" ht="14.25">
      <c r="A76" s="226" t="s">
        <v>2964</v>
      </c>
      <c r="B76" s="217" t="s">
        <v>2965</v>
      </c>
      <c r="C76" s="424" t="s">
        <v>3737</v>
      </c>
      <c r="D76" s="441" t="s">
        <v>1012</v>
      </c>
      <c r="E76" s="433" t="s">
        <v>2730</v>
      </c>
      <c r="F76" s="232" t="s">
        <v>2869</v>
      </c>
      <c r="G76" s="426" t="s">
        <v>93</v>
      </c>
      <c r="H76" s="427">
        <v>2050000</v>
      </c>
      <c r="I76" s="428">
        <v>2050000</v>
      </c>
      <c r="J76" s="428" t="s">
        <v>916</v>
      </c>
      <c r="K76" s="429">
        <v>3570</v>
      </c>
      <c r="L76" s="430">
        <v>3570</v>
      </c>
      <c r="M76" s="430" t="s">
        <v>916</v>
      </c>
      <c r="N76" s="429">
        <v>325</v>
      </c>
      <c r="O76" s="430">
        <v>325</v>
      </c>
      <c r="P76" s="430" t="s">
        <v>916</v>
      </c>
      <c r="Q76" s="429">
        <v>3250</v>
      </c>
      <c r="R76" s="430">
        <v>3250</v>
      </c>
      <c r="S76" s="430" t="s">
        <v>916</v>
      </c>
      <c r="T76" s="429">
        <v>793</v>
      </c>
      <c r="U76" s="430">
        <v>793</v>
      </c>
      <c r="V76" s="430" t="s">
        <v>916</v>
      </c>
      <c r="W76" s="32" t="s">
        <v>2870</v>
      </c>
      <c r="X76" s="332" t="s">
        <v>3738</v>
      </c>
      <c r="Y76" s="435" t="s">
        <v>2734</v>
      </c>
      <c r="Z76" s="431"/>
      <c r="AA76" s="431"/>
    </row>
    <row r="77" spans="1:27" s="235" customFormat="1" ht="14.25">
      <c r="A77" s="243" t="s">
        <v>2966</v>
      </c>
      <c r="B77" s="739" t="s">
        <v>2967</v>
      </c>
      <c r="C77" s="454" t="s">
        <v>3739</v>
      </c>
      <c r="D77" s="441" t="s">
        <v>1012</v>
      </c>
      <c r="E77" s="433" t="s">
        <v>2730</v>
      </c>
      <c r="F77" s="455" t="s">
        <v>2869</v>
      </c>
      <c r="G77" s="456" t="s">
        <v>93</v>
      </c>
      <c r="H77" s="427">
        <v>2590000</v>
      </c>
      <c r="I77" s="428">
        <v>2590000</v>
      </c>
      <c r="J77" s="428" t="s">
        <v>916</v>
      </c>
      <c r="K77" s="429">
        <v>5120</v>
      </c>
      <c r="L77" s="430">
        <v>5120</v>
      </c>
      <c r="M77" s="430" t="s">
        <v>916</v>
      </c>
      <c r="N77" s="429">
        <v>514</v>
      </c>
      <c r="O77" s="430">
        <v>514</v>
      </c>
      <c r="P77" s="430" t="s">
        <v>916</v>
      </c>
      <c r="Q77" s="429">
        <v>4610</v>
      </c>
      <c r="R77" s="430">
        <v>4610</v>
      </c>
      <c r="S77" s="430" t="s">
        <v>916</v>
      </c>
      <c r="T77" s="429">
        <v>1080</v>
      </c>
      <c r="U77" s="430">
        <v>1080</v>
      </c>
      <c r="V77" s="430" t="s">
        <v>916</v>
      </c>
      <c r="W77" s="457" t="s">
        <v>2870</v>
      </c>
      <c r="X77" s="332" t="s">
        <v>3740</v>
      </c>
      <c r="Y77" s="435" t="s">
        <v>2734</v>
      </c>
      <c r="Z77" s="431"/>
      <c r="AA77" s="431"/>
    </row>
    <row r="78" spans="1:27" s="190" customFormat="1" ht="14.25">
      <c r="A78" s="458" t="s">
        <v>2968</v>
      </c>
      <c r="B78" s="217" t="s">
        <v>2969</v>
      </c>
      <c r="C78" s="459" t="s">
        <v>2970</v>
      </c>
      <c r="D78" s="441" t="s">
        <v>1012</v>
      </c>
      <c r="E78" s="433" t="s">
        <v>2730</v>
      </c>
      <c r="F78" s="232" t="s">
        <v>2869</v>
      </c>
      <c r="G78" s="426" t="s">
        <v>93</v>
      </c>
      <c r="H78" s="427">
        <v>534000</v>
      </c>
      <c r="I78" s="428">
        <v>534000</v>
      </c>
      <c r="J78" s="428" t="s">
        <v>916</v>
      </c>
      <c r="K78" s="429">
        <v>687</v>
      </c>
      <c r="L78" s="430">
        <v>687</v>
      </c>
      <c r="M78" s="430" t="s">
        <v>916</v>
      </c>
      <c r="N78" s="429">
        <v>65.099999999999994</v>
      </c>
      <c r="O78" s="430">
        <v>65.099999999999994</v>
      </c>
      <c r="P78" s="430" t="s">
        <v>916</v>
      </c>
      <c r="Q78" s="429">
        <v>622</v>
      </c>
      <c r="R78" s="430">
        <v>622</v>
      </c>
      <c r="S78" s="430" t="s">
        <v>916</v>
      </c>
      <c r="T78" s="429">
        <v>144</v>
      </c>
      <c r="U78" s="430">
        <v>144</v>
      </c>
      <c r="V78" s="430" t="s">
        <v>916</v>
      </c>
      <c r="W78" s="32" t="s">
        <v>2870</v>
      </c>
      <c r="X78" s="332" t="s">
        <v>2971</v>
      </c>
      <c r="Y78" s="435" t="s">
        <v>2734</v>
      </c>
      <c r="Z78" s="248"/>
      <c r="AA78" s="248"/>
    </row>
    <row r="79" spans="1:27" s="190" customFormat="1" ht="14.25">
      <c r="A79" s="458" t="s">
        <v>2972</v>
      </c>
      <c r="B79" s="217" t="s">
        <v>2973</v>
      </c>
      <c r="C79" s="459" t="s">
        <v>2974</v>
      </c>
      <c r="D79" s="441" t="s">
        <v>1012</v>
      </c>
      <c r="E79" s="433" t="s">
        <v>2730</v>
      </c>
      <c r="F79" s="232" t="s">
        <v>2869</v>
      </c>
      <c r="G79" s="426" t="s">
        <v>93</v>
      </c>
      <c r="H79" s="427">
        <v>428000</v>
      </c>
      <c r="I79" s="428">
        <v>428000</v>
      </c>
      <c r="J79" s="428" t="s">
        <v>916</v>
      </c>
      <c r="K79" s="429">
        <v>550</v>
      </c>
      <c r="L79" s="430">
        <v>550</v>
      </c>
      <c r="M79" s="430" t="s">
        <v>916</v>
      </c>
      <c r="N79" s="429">
        <v>52.1</v>
      </c>
      <c r="O79" s="430">
        <v>52.1</v>
      </c>
      <c r="P79" s="430" t="s">
        <v>916</v>
      </c>
      <c r="Q79" s="429">
        <v>498</v>
      </c>
      <c r="R79" s="430">
        <v>498</v>
      </c>
      <c r="S79" s="430" t="s">
        <v>916</v>
      </c>
      <c r="T79" s="429">
        <v>115</v>
      </c>
      <c r="U79" s="430">
        <v>115</v>
      </c>
      <c r="V79" s="430" t="s">
        <v>916</v>
      </c>
      <c r="W79" s="32" t="s">
        <v>2870</v>
      </c>
      <c r="X79" s="332" t="s">
        <v>2975</v>
      </c>
      <c r="Y79" s="435" t="s">
        <v>2734</v>
      </c>
      <c r="Z79" s="248"/>
      <c r="AA79" s="248"/>
    </row>
    <row r="80" spans="1:27" s="190" customFormat="1" ht="14.25">
      <c r="A80" s="458" t="s">
        <v>2976</v>
      </c>
      <c r="B80" s="217" t="s">
        <v>2977</v>
      </c>
      <c r="C80" s="459" t="s">
        <v>2978</v>
      </c>
      <c r="D80" s="441" t="s">
        <v>1012</v>
      </c>
      <c r="E80" s="433" t="s">
        <v>2730</v>
      </c>
      <c r="F80" s="232" t="s">
        <v>2869</v>
      </c>
      <c r="G80" s="426" t="s">
        <v>93</v>
      </c>
      <c r="H80" s="427">
        <v>343000</v>
      </c>
      <c r="I80" s="428">
        <v>343000</v>
      </c>
      <c r="J80" s="428" t="s">
        <v>916</v>
      </c>
      <c r="K80" s="429">
        <v>441</v>
      </c>
      <c r="L80" s="430">
        <v>441</v>
      </c>
      <c r="M80" s="430" t="s">
        <v>916</v>
      </c>
      <c r="N80" s="429">
        <v>41.8</v>
      </c>
      <c r="O80" s="430">
        <v>41.8</v>
      </c>
      <c r="P80" s="430" t="s">
        <v>916</v>
      </c>
      <c r="Q80" s="429">
        <v>399</v>
      </c>
      <c r="R80" s="430">
        <v>399</v>
      </c>
      <c r="S80" s="430" t="s">
        <v>916</v>
      </c>
      <c r="T80" s="429">
        <v>92.5</v>
      </c>
      <c r="U80" s="430">
        <v>92.5</v>
      </c>
      <c r="V80" s="430" t="s">
        <v>916</v>
      </c>
      <c r="W80" s="32" t="s">
        <v>2870</v>
      </c>
      <c r="X80" s="332" t="s">
        <v>2979</v>
      </c>
      <c r="Y80" s="435" t="s">
        <v>2734</v>
      </c>
      <c r="Z80" s="248"/>
      <c r="AA80" s="248"/>
    </row>
    <row r="81" spans="1:27" s="190" customFormat="1" ht="14.25">
      <c r="A81" s="458" t="s">
        <v>2980</v>
      </c>
      <c r="B81" s="217" t="s">
        <v>2981</v>
      </c>
      <c r="C81" s="459" t="s">
        <v>2982</v>
      </c>
      <c r="D81" s="441" t="s">
        <v>1012</v>
      </c>
      <c r="E81" s="433" t="s">
        <v>2730</v>
      </c>
      <c r="F81" s="232" t="s">
        <v>2869</v>
      </c>
      <c r="G81" s="426" t="s">
        <v>93</v>
      </c>
      <c r="H81" s="427">
        <v>274000</v>
      </c>
      <c r="I81" s="428">
        <v>274000</v>
      </c>
      <c r="J81" s="428" t="s">
        <v>916</v>
      </c>
      <c r="K81" s="429">
        <v>353</v>
      </c>
      <c r="L81" s="430">
        <v>353</v>
      </c>
      <c r="M81" s="430" t="s">
        <v>916</v>
      </c>
      <c r="N81" s="429">
        <v>33.4</v>
      </c>
      <c r="O81" s="430">
        <v>33.4</v>
      </c>
      <c r="P81" s="430" t="s">
        <v>916</v>
      </c>
      <c r="Q81" s="429">
        <v>320</v>
      </c>
      <c r="R81" s="430">
        <v>320</v>
      </c>
      <c r="S81" s="430" t="s">
        <v>916</v>
      </c>
      <c r="T81" s="429">
        <v>74.099999999999994</v>
      </c>
      <c r="U81" s="430">
        <v>74.099999999999994</v>
      </c>
      <c r="V81" s="430" t="s">
        <v>916</v>
      </c>
      <c r="W81" s="32" t="s">
        <v>2870</v>
      </c>
      <c r="X81" s="332" t="s">
        <v>2983</v>
      </c>
      <c r="Y81" s="435" t="s">
        <v>2734</v>
      </c>
      <c r="Z81" s="248"/>
      <c r="AA81" s="248"/>
    </row>
    <row r="82" spans="1:27" s="190" customFormat="1" ht="14.25">
      <c r="A82" s="458" t="s">
        <v>2984</v>
      </c>
      <c r="B82" s="217" t="s">
        <v>2985</v>
      </c>
      <c r="C82" s="459" t="s">
        <v>2986</v>
      </c>
      <c r="D82" s="441" t="s">
        <v>1012</v>
      </c>
      <c r="E82" s="433" t="s">
        <v>2730</v>
      </c>
      <c r="F82" s="232" t="s">
        <v>2869</v>
      </c>
      <c r="G82" s="426" t="s">
        <v>93</v>
      </c>
      <c r="H82" s="427">
        <v>167000</v>
      </c>
      <c r="I82" s="428">
        <v>167000</v>
      </c>
      <c r="J82" s="428" t="s">
        <v>916</v>
      </c>
      <c r="K82" s="429">
        <v>180</v>
      </c>
      <c r="L82" s="430">
        <v>180</v>
      </c>
      <c r="M82" s="430" t="s">
        <v>916</v>
      </c>
      <c r="N82" s="429">
        <v>10.3</v>
      </c>
      <c r="O82" s="430">
        <v>10.3</v>
      </c>
      <c r="P82" s="430" t="s">
        <v>916</v>
      </c>
      <c r="Q82" s="429">
        <v>170</v>
      </c>
      <c r="R82" s="430">
        <v>170</v>
      </c>
      <c r="S82" s="430" t="s">
        <v>916</v>
      </c>
      <c r="T82" s="429">
        <v>42.1</v>
      </c>
      <c r="U82" s="430">
        <v>42.1</v>
      </c>
      <c r="V82" s="430" t="s">
        <v>916</v>
      </c>
      <c r="W82" s="32" t="s">
        <v>2870</v>
      </c>
      <c r="X82" s="332" t="s">
        <v>2987</v>
      </c>
      <c r="Y82" s="435" t="s">
        <v>2734</v>
      </c>
      <c r="Z82" s="248"/>
      <c r="AA82" s="248"/>
    </row>
    <row r="83" spans="1:27" s="190" customFormat="1" ht="53.25" customHeight="1">
      <c r="A83" s="1360"/>
      <c r="B83" s="1360"/>
      <c r="C83" s="1361" t="s">
        <v>2988</v>
      </c>
      <c r="D83" s="1360"/>
      <c r="E83" s="1362"/>
      <c r="F83" s="1363"/>
      <c r="G83" s="1363"/>
      <c r="H83" s="1364"/>
      <c r="I83" s="1364"/>
      <c r="J83" s="1364" t="s">
        <v>2989</v>
      </c>
      <c r="K83" s="1364" t="s">
        <v>2989</v>
      </c>
      <c r="L83" s="1364" t="s">
        <v>2989</v>
      </c>
      <c r="M83" s="1364" t="s">
        <v>2989</v>
      </c>
      <c r="N83" s="1364" t="s">
        <v>2989</v>
      </c>
      <c r="O83" s="1364" t="s">
        <v>2989</v>
      </c>
      <c r="P83" s="1364" t="s">
        <v>2989</v>
      </c>
      <c r="Q83" s="1365" t="s">
        <v>2989</v>
      </c>
      <c r="R83" s="1364" t="s">
        <v>2989</v>
      </c>
      <c r="S83" s="1364" t="s">
        <v>2989</v>
      </c>
      <c r="T83" s="1366" t="s">
        <v>2989</v>
      </c>
      <c r="U83" s="1366" t="s">
        <v>2989</v>
      </c>
      <c r="V83" s="1366" t="s">
        <v>2989</v>
      </c>
      <c r="W83" s="1363"/>
      <c r="X83" s="1367" t="s">
        <v>2990</v>
      </c>
      <c r="Y83" s="1362"/>
      <c r="Z83" s="248"/>
      <c r="AA83" s="248"/>
    </row>
    <row r="84" spans="1:27" s="190" customFormat="1">
      <c r="A84" s="121"/>
      <c r="B84" s="217"/>
      <c r="C84" s="424"/>
      <c r="D84" s="121"/>
      <c r="E84" s="122"/>
      <c r="F84" s="222"/>
      <c r="G84" s="123"/>
      <c r="H84" s="427"/>
      <c r="I84" s="428"/>
      <c r="J84" s="428"/>
      <c r="K84" s="429"/>
      <c r="L84" s="430"/>
      <c r="M84" s="430"/>
      <c r="N84" s="429"/>
      <c r="O84" s="430"/>
      <c r="P84" s="430"/>
      <c r="Q84" s="429"/>
      <c r="R84" s="430"/>
      <c r="S84" s="430"/>
      <c r="T84" s="429"/>
      <c r="U84" s="430"/>
      <c r="V84" s="430"/>
      <c r="W84" s="222"/>
      <c r="X84" s="424"/>
      <c r="Y84" s="45"/>
      <c r="Z84" s="248"/>
      <c r="AA84" s="248"/>
    </row>
    <row r="85" spans="1:27" s="190" customFormat="1">
      <c r="A85" s="121"/>
      <c r="B85" s="217"/>
      <c r="C85" s="424"/>
      <c r="D85" s="121"/>
      <c r="E85" s="122"/>
      <c r="F85" s="222"/>
      <c r="G85" s="123"/>
      <c r="H85" s="427"/>
      <c r="I85" s="428"/>
      <c r="J85" s="428"/>
      <c r="K85" s="421"/>
      <c r="L85" s="422"/>
      <c r="M85" s="422"/>
      <c r="N85" s="421"/>
      <c r="O85" s="422"/>
      <c r="P85" s="422"/>
      <c r="Q85" s="421"/>
      <c r="R85" s="422"/>
      <c r="S85" s="422"/>
      <c r="T85" s="421"/>
      <c r="U85" s="422"/>
      <c r="V85" s="422"/>
      <c r="W85" s="222"/>
      <c r="X85" s="424"/>
      <c r="Y85" s="45"/>
      <c r="Z85" s="248"/>
      <c r="AA85" s="248"/>
    </row>
    <row r="86" spans="1:27">
      <c r="C86" s="248"/>
      <c r="E86" s="248"/>
      <c r="F86" s="248"/>
      <c r="G86" s="248"/>
      <c r="H86" s="744"/>
      <c r="I86" s="744"/>
      <c r="J86" s="744"/>
      <c r="K86" s="744"/>
      <c r="L86" s="744"/>
      <c r="M86" s="744"/>
      <c r="N86" s="744"/>
      <c r="O86" s="744"/>
      <c r="P86" s="744"/>
      <c r="Q86" s="744"/>
      <c r="R86" s="744"/>
      <c r="S86" s="744"/>
      <c r="T86" s="745"/>
      <c r="U86" s="745"/>
      <c r="V86" s="745"/>
      <c r="W86" s="248"/>
      <c r="X86" s="424"/>
      <c r="Y86" s="248"/>
    </row>
    <row r="87" spans="1:27">
      <c r="C87" s="248"/>
      <c r="E87" s="248"/>
      <c r="F87" s="248"/>
      <c r="G87" s="248"/>
      <c r="H87" s="744"/>
      <c r="I87" s="744"/>
      <c r="J87" s="744"/>
      <c r="K87" s="744"/>
      <c r="L87" s="744"/>
      <c r="M87" s="744"/>
      <c r="N87" s="744"/>
      <c r="O87" s="744"/>
      <c r="P87" s="744"/>
      <c r="Q87" s="744"/>
      <c r="R87" s="744"/>
      <c r="S87" s="744"/>
      <c r="T87" s="745"/>
      <c r="U87" s="745"/>
      <c r="V87" s="745"/>
      <c r="W87" s="248"/>
      <c r="X87" s="424"/>
      <c r="Y87" s="248"/>
    </row>
    <row r="88" spans="1:27">
      <c r="C88" s="248"/>
      <c r="E88" s="248"/>
      <c r="F88" s="248"/>
      <c r="G88" s="248"/>
      <c r="H88" s="744"/>
      <c r="I88" s="744"/>
      <c r="J88" s="744"/>
      <c r="K88" s="744"/>
      <c r="L88" s="744"/>
      <c r="M88" s="744"/>
      <c r="N88" s="744"/>
      <c r="O88" s="744"/>
      <c r="P88" s="744"/>
      <c r="Q88" s="744"/>
      <c r="R88" s="744"/>
      <c r="S88" s="744"/>
      <c r="T88" s="745"/>
      <c r="U88" s="745"/>
      <c r="V88" s="745"/>
      <c r="W88" s="248"/>
      <c r="X88" s="424"/>
      <c r="Y88" s="248"/>
    </row>
    <row r="89" spans="1:27">
      <c r="C89" s="248"/>
      <c r="E89" s="248"/>
      <c r="F89" s="248"/>
      <c r="G89" s="248"/>
      <c r="H89" s="744"/>
      <c r="I89" s="744"/>
      <c r="J89" s="744"/>
      <c r="K89" s="744"/>
      <c r="L89" s="744"/>
      <c r="M89" s="744"/>
      <c r="N89" s="744"/>
      <c r="O89" s="744"/>
      <c r="P89" s="744"/>
      <c r="Q89" s="744"/>
      <c r="R89" s="744"/>
      <c r="S89" s="744"/>
      <c r="T89" s="745"/>
      <c r="U89" s="745"/>
      <c r="V89" s="745"/>
      <c r="W89" s="248"/>
      <c r="X89" s="424"/>
      <c r="Y89" s="248"/>
    </row>
    <row r="90" spans="1:27">
      <c r="C90" s="248"/>
      <c r="E90" s="248"/>
      <c r="F90" s="248"/>
      <c r="G90" s="248"/>
      <c r="H90" s="744"/>
      <c r="I90" s="744"/>
      <c r="J90" s="744"/>
      <c r="K90" s="744"/>
      <c r="L90" s="744"/>
      <c r="M90" s="744"/>
      <c r="N90" s="744"/>
      <c r="O90" s="744"/>
      <c r="P90" s="744"/>
      <c r="Q90" s="744"/>
      <c r="R90" s="744"/>
      <c r="S90" s="744"/>
      <c r="T90" s="745"/>
      <c r="U90" s="745"/>
      <c r="V90" s="745"/>
      <c r="W90" s="248"/>
      <c r="X90" s="248"/>
      <c r="Y90" s="248"/>
    </row>
    <row r="91" spans="1:27">
      <c r="C91" s="248"/>
      <c r="E91" s="248"/>
      <c r="F91" s="248"/>
      <c r="G91" s="248"/>
      <c r="H91" s="744"/>
      <c r="I91" s="744"/>
      <c r="J91" s="744"/>
      <c r="K91" s="744"/>
      <c r="L91" s="744"/>
      <c r="M91" s="744"/>
      <c r="N91" s="744"/>
      <c r="O91" s="744"/>
      <c r="P91" s="744"/>
      <c r="Q91" s="744"/>
      <c r="R91" s="744"/>
      <c r="S91" s="744"/>
      <c r="T91" s="745"/>
      <c r="U91" s="745"/>
      <c r="V91" s="745"/>
      <c r="W91" s="248"/>
      <c r="X91" s="248"/>
      <c r="Y91" s="248"/>
    </row>
    <row r="92" spans="1:27">
      <c r="C92" s="248"/>
      <c r="E92" s="248"/>
      <c r="F92" s="248"/>
      <c r="G92" s="248"/>
      <c r="H92" s="744"/>
      <c r="I92" s="744"/>
      <c r="J92" s="744"/>
      <c r="K92" s="744"/>
      <c r="L92" s="744"/>
      <c r="M92" s="744"/>
      <c r="N92" s="744"/>
      <c r="O92" s="744"/>
      <c r="P92" s="744"/>
      <c r="Q92" s="744"/>
      <c r="R92" s="744"/>
      <c r="S92" s="744"/>
      <c r="T92" s="745"/>
      <c r="U92" s="745"/>
      <c r="V92" s="745"/>
      <c r="W92" s="248"/>
      <c r="X92" s="248"/>
      <c r="Y92" s="248"/>
    </row>
    <row r="93" spans="1:27">
      <c r="C93" s="248"/>
      <c r="E93" s="248"/>
      <c r="F93" s="248"/>
      <c r="G93" s="248"/>
      <c r="H93" s="744"/>
      <c r="I93" s="744"/>
      <c r="J93" s="744"/>
      <c r="K93" s="744"/>
      <c r="L93" s="744"/>
      <c r="M93" s="744"/>
      <c r="N93" s="744"/>
      <c r="O93" s="744"/>
      <c r="P93" s="744"/>
      <c r="Q93" s="744"/>
      <c r="R93" s="744"/>
      <c r="S93" s="744"/>
      <c r="T93" s="745"/>
      <c r="U93" s="745"/>
      <c r="V93" s="745"/>
      <c r="W93" s="248"/>
      <c r="X93" s="248"/>
      <c r="Y93" s="248"/>
    </row>
    <row r="94" spans="1:27">
      <c r="C94" s="248"/>
      <c r="E94" s="248"/>
      <c r="F94" s="248"/>
      <c r="G94" s="248"/>
      <c r="H94" s="744"/>
      <c r="I94" s="744"/>
      <c r="J94" s="744"/>
      <c r="K94" s="744"/>
      <c r="L94" s="744"/>
      <c r="M94" s="744"/>
      <c r="N94" s="744"/>
      <c r="O94" s="744"/>
      <c r="P94" s="744"/>
      <c r="Q94" s="744"/>
      <c r="R94" s="744"/>
      <c r="S94" s="744"/>
      <c r="T94" s="745"/>
      <c r="U94" s="745"/>
      <c r="V94" s="745"/>
      <c r="W94" s="248"/>
      <c r="X94" s="248"/>
      <c r="Y94" s="248"/>
    </row>
    <row r="95" spans="1:27">
      <c r="C95" s="248"/>
      <c r="E95" s="248"/>
      <c r="F95" s="248"/>
      <c r="G95" s="248"/>
      <c r="H95" s="744"/>
      <c r="I95" s="744"/>
      <c r="J95" s="744"/>
      <c r="K95" s="744"/>
      <c r="L95" s="744"/>
      <c r="M95" s="744"/>
      <c r="N95" s="744"/>
      <c r="O95" s="744"/>
      <c r="P95" s="744"/>
      <c r="Q95" s="744"/>
      <c r="R95" s="744"/>
      <c r="S95" s="744"/>
      <c r="T95" s="745"/>
      <c r="U95" s="745"/>
      <c r="V95" s="745"/>
      <c r="W95" s="248"/>
      <c r="X95" s="248"/>
      <c r="Y95" s="248"/>
    </row>
    <row r="96" spans="1:27">
      <c r="C96" s="248"/>
      <c r="E96" s="248"/>
      <c r="F96" s="248"/>
      <c r="G96" s="248"/>
      <c r="H96" s="744"/>
      <c r="I96" s="744"/>
      <c r="J96" s="744"/>
      <c r="K96" s="744"/>
      <c r="L96" s="744"/>
      <c r="M96" s="744"/>
      <c r="N96" s="744"/>
      <c r="O96" s="744"/>
      <c r="P96" s="744"/>
      <c r="Q96" s="744"/>
      <c r="R96" s="744"/>
      <c r="S96" s="744"/>
      <c r="T96" s="745"/>
      <c r="U96" s="745"/>
      <c r="V96" s="745"/>
      <c r="W96" s="248"/>
      <c r="X96" s="248"/>
      <c r="Y96" s="248"/>
    </row>
    <row r="97" spans="8:22" s="248" customFormat="1">
      <c r="H97" s="744"/>
      <c r="I97" s="744"/>
      <c r="J97" s="744"/>
      <c r="K97" s="744"/>
      <c r="L97" s="744"/>
      <c r="M97" s="744"/>
      <c r="N97" s="744"/>
      <c r="O97" s="744"/>
      <c r="P97" s="744"/>
      <c r="Q97" s="744"/>
      <c r="R97" s="744"/>
      <c r="S97" s="744"/>
      <c r="T97" s="745"/>
      <c r="U97" s="745"/>
      <c r="V97" s="745"/>
    </row>
    <row r="98" spans="8:22" s="248" customFormat="1">
      <c r="H98" s="744"/>
      <c r="I98" s="744"/>
      <c r="J98" s="744"/>
      <c r="K98" s="744"/>
      <c r="L98" s="744"/>
      <c r="M98" s="744"/>
      <c r="N98" s="744"/>
      <c r="O98" s="744"/>
      <c r="P98" s="744"/>
      <c r="Q98" s="744"/>
      <c r="R98" s="744"/>
      <c r="S98" s="744"/>
      <c r="T98" s="745"/>
      <c r="U98" s="745"/>
      <c r="V98" s="745"/>
    </row>
    <row r="99" spans="8:22" s="248" customFormat="1">
      <c r="H99" s="744"/>
      <c r="I99" s="744"/>
      <c r="J99" s="744"/>
      <c r="K99" s="744"/>
      <c r="L99" s="744"/>
      <c r="M99" s="744"/>
      <c r="N99" s="744"/>
      <c r="O99" s="744"/>
      <c r="P99" s="744"/>
      <c r="Q99" s="744"/>
      <c r="R99" s="744"/>
      <c r="S99" s="744"/>
      <c r="T99" s="745"/>
      <c r="U99" s="745"/>
      <c r="V99" s="745"/>
    </row>
    <row r="100" spans="8:22" s="248" customFormat="1">
      <c r="H100" s="744"/>
      <c r="I100" s="744"/>
      <c r="J100" s="744"/>
      <c r="K100" s="744"/>
      <c r="L100" s="744"/>
      <c r="M100" s="744"/>
      <c r="N100" s="744"/>
      <c r="O100" s="744"/>
      <c r="P100" s="744"/>
      <c r="Q100" s="744"/>
      <c r="R100" s="744"/>
      <c r="S100" s="744"/>
      <c r="T100" s="745"/>
      <c r="U100" s="745"/>
      <c r="V100" s="745"/>
    </row>
    <row r="101" spans="8:22" s="248" customFormat="1">
      <c r="H101" s="744"/>
      <c r="I101" s="744"/>
      <c r="J101" s="744"/>
      <c r="K101" s="744"/>
      <c r="L101" s="744"/>
      <c r="M101" s="744"/>
      <c r="N101" s="744"/>
      <c r="O101" s="744"/>
      <c r="P101" s="744"/>
      <c r="Q101" s="744"/>
      <c r="R101" s="744"/>
      <c r="S101" s="744"/>
      <c r="T101" s="745"/>
      <c r="U101" s="745"/>
      <c r="V101" s="745"/>
    </row>
    <row r="102" spans="8:22" s="248" customFormat="1">
      <c r="H102" s="744"/>
      <c r="I102" s="744"/>
      <c r="J102" s="744"/>
      <c r="K102" s="744"/>
      <c r="L102" s="744"/>
      <c r="M102" s="744"/>
      <c r="N102" s="744"/>
      <c r="O102" s="744"/>
      <c r="P102" s="744"/>
      <c r="Q102" s="744"/>
      <c r="R102" s="744"/>
      <c r="S102" s="744"/>
      <c r="T102" s="745"/>
      <c r="U102" s="745"/>
      <c r="V102" s="745"/>
    </row>
    <row r="103" spans="8:22" s="248" customFormat="1">
      <c r="H103" s="744"/>
      <c r="I103" s="744"/>
      <c r="J103" s="744"/>
      <c r="K103" s="744"/>
      <c r="L103" s="744"/>
      <c r="M103" s="744"/>
      <c r="N103" s="744"/>
      <c r="O103" s="744"/>
      <c r="P103" s="744"/>
      <c r="Q103" s="744"/>
      <c r="R103" s="744"/>
      <c r="S103" s="744"/>
      <c r="T103" s="745"/>
      <c r="U103" s="745"/>
      <c r="V103" s="745"/>
    </row>
    <row r="104" spans="8:22" s="248" customFormat="1">
      <c r="H104" s="744"/>
      <c r="I104" s="744"/>
      <c r="J104" s="744"/>
      <c r="K104" s="744"/>
      <c r="L104" s="744"/>
      <c r="M104" s="744"/>
      <c r="N104" s="744"/>
      <c r="O104" s="744"/>
      <c r="P104" s="744"/>
      <c r="Q104" s="744"/>
      <c r="R104" s="744"/>
      <c r="S104" s="744"/>
      <c r="T104" s="745"/>
      <c r="U104" s="745"/>
      <c r="V104" s="745"/>
    </row>
    <row r="105" spans="8:22" s="248" customFormat="1">
      <c r="H105" s="744"/>
      <c r="I105" s="744"/>
      <c r="J105" s="744"/>
      <c r="K105" s="744"/>
      <c r="L105" s="744"/>
      <c r="M105" s="744"/>
      <c r="N105" s="744"/>
      <c r="O105" s="744"/>
      <c r="P105" s="744"/>
      <c r="Q105" s="744"/>
      <c r="R105" s="744"/>
      <c r="S105" s="744"/>
      <c r="T105" s="745"/>
      <c r="U105" s="745"/>
      <c r="V105" s="745"/>
    </row>
    <row r="106" spans="8:22" s="248" customFormat="1">
      <c r="H106" s="744"/>
      <c r="I106" s="744"/>
      <c r="J106" s="744"/>
      <c r="K106" s="744"/>
      <c r="L106" s="744"/>
      <c r="M106" s="744"/>
      <c r="N106" s="744"/>
      <c r="O106" s="744"/>
      <c r="P106" s="744"/>
      <c r="Q106" s="744"/>
      <c r="R106" s="744"/>
      <c r="S106" s="744"/>
      <c r="T106" s="745"/>
      <c r="U106" s="745"/>
      <c r="V106" s="745"/>
    </row>
    <row r="107" spans="8:22" s="248" customFormat="1">
      <c r="H107" s="744"/>
      <c r="I107" s="744"/>
      <c r="J107" s="744"/>
      <c r="K107" s="744"/>
      <c r="L107" s="744"/>
      <c r="M107" s="744"/>
      <c r="N107" s="744"/>
      <c r="O107" s="744"/>
      <c r="P107" s="744"/>
      <c r="Q107" s="744"/>
      <c r="R107" s="744"/>
      <c r="S107" s="744"/>
      <c r="T107" s="745"/>
      <c r="U107" s="745"/>
      <c r="V107" s="745"/>
    </row>
    <row r="108" spans="8:22" s="248" customFormat="1">
      <c r="H108" s="744"/>
      <c r="I108" s="744"/>
      <c r="J108" s="744"/>
      <c r="K108" s="744"/>
      <c r="L108" s="744"/>
      <c r="M108" s="744"/>
      <c r="N108" s="744"/>
      <c r="O108" s="744"/>
      <c r="P108" s="744"/>
      <c r="Q108" s="744"/>
      <c r="R108" s="744"/>
      <c r="S108" s="744"/>
      <c r="T108" s="745"/>
      <c r="U108" s="745"/>
      <c r="V108" s="745"/>
    </row>
    <row r="109" spans="8:22" s="248" customFormat="1">
      <c r="H109" s="744"/>
      <c r="I109" s="744"/>
      <c r="J109" s="744"/>
      <c r="K109" s="744"/>
      <c r="L109" s="744"/>
      <c r="M109" s="744"/>
      <c r="N109" s="744"/>
      <c r="O109" s="744"/>
      <c r="P109" s="744"/>
      <c r="Q109" s="744"/>
      <c r="R109" s="744"/>
      <c r="S109" s="744"/>
      <c r="T109" s="745"/>
      <c r="U109" s="745"/>
      <c r="V109" s="745"/>
    </row>
    <row r="110" spans="8:22" s="248" customFormat="1">
      <c r="H110" s="744"/>
      <c r="I110" s="744"/>
      <c r="J110" s="744"/>
      <c r="K110" s="744"/>
      <c r="L110" s="744"/>
      <c r="M110" s="744"/>
      <c r="N110" s="744"/>
      <c r="O110" s="744"/>
      <c r="P110" s="744"/>
      <c r="Q110" s="744"/>
      <c r="R110" s="744"/>
      <c r="S110" s="744"/>
      <c r="T110" s="745"/>
      <c r="U110" s="745"/>
      <c r="V110" s="745"/>
    </row>
    <row r="111" spans="8:22" s="248" customFormat="1">
      <c r="H111" s="744"/>
      <c r="I111" s="744"/>
      <c r="J111" s="744"/>
      <c r="K111" s="744"/>
      <c r="L111" s="744"/>
      <c r="M111" s="744"/>
      <c r="N111" s="744"/>
      <c r="O111" s="744"/>
      <c r="P111" s="744"/>
      <c r="Q111" s="744"/>
      <c r="R111" s="744"/>
      <c r="S111" s="744"/>
      <c r="T111" s="745"/>
      <c r="U111" s="745"/>
      <c r="V111" s="745"/>
    </row>
    <row r="112" spans="8:22" s="248" customFormat="1">
      <c r="H112" s="744"/>
      <c r="I112" s="744"/>
      <c r="J112" s="744"/>
      <c r="K112" s="744"/>
      <c r="L112" s="744"/>
      <c r="M112" s="744"/>
      <c r="N112" s="744"/>
      <c r="O112" s="744"/>
      <c r="P112" s="744"/>
      <c r="Q112" s="744"/>
      <c r="R112" s="744"/>
      <c r="S112" s="744"/>
      <c r="T112" s="745"/>
      <c r="U112" s="745"/>
      <c r="V112" s="745"/>
    </row>
    <row r="113" spans="8:22" s="248" customFormat="1">
      <c r="H113" s="744"/>
      <c r="I113" s="744"/>
      <c r="J113" s="744"/>
      <c r="K113" s="744"/>
      <c r="L113" s="744"/>
      <c r="M113" s="744"/>
      <c r="N113" s="744"/>
      <c r="O113" s="744"/>
      <c r="P113" s="744"/>
      <c r="Q113" s="744"/>
      <c r="R113" s="744"/>
      <c r="S113" s="744"/>
      <c r="T113" s="745"/>
      <c r="U113" s="745"/>
      <c r="V113" s="745"/>
    </row>
    <row r="114" spans="8:22" s="248" customFormat="1">
      <c r="H114" s="744"/>
      <c r="I114" s="744"/>
      <c r="J114" s="744"/>
      <c r="K114" s="744"/>
      <c r="L114" s="744"/>
      <c r="M114" s="744"/>
      <c r="N114" s="744"/>
      <c r="O114" s="744"/>
      <c r="P114" s="744"/>
      <c r="Q114" s="744"/>
      <c r="R114" s="744"/>
      <c r="S114" s="744"/>
      <c r="T114" s="745"/>
      <c r="U114" s="745"/>
      <c r="V114" s="745"/>
    </row>
    <row r="115" spans="8:22" s="248" customFormat="1">
      <c r="H115" s="744"/>
      <c r="I115" s="744"/>
      <c r="J115" s="744"/>
      <c r="K115" s="744"/>
      <c r="L115" s="744"/>
      <c r="M115" s="744"/>
      <c r="N115" s="744"/>
      <c r="O115" s="744"/>
      <c r="P115" s="744"/>
      <c r="Q115" s="744"/>
      <c r="R115" s="744"/>
      <c r="S115" s="744"/>
      <c r="T115" s="745"/>
      <c r="U115" s="745"/>
      <c r="V115" s="745"/>
    </row>
    <row r="116" spans="8:22" s="248" customFormat="1">
      <c r="H116" s="744"/>
      <c r="I116" s="744"/>
      <c r="J116" s="744"/>
      <c r="K116" s="744"/>
      <c r="L116" s="744"/>
      <c r="M116" s="744"/>
      <c r="N116" s="744"/>
      <c r="O116" s="744"/>
      <c r="P116" s="744"/>
      <c r="Q116" s="744"/>
      <c r="R116" s="744"/>
      <c r="S116" s="744"/>
      <c r="T116" s="745"/>
      <c r="U116" s="745"/>
      <c r="V116" s="745"/>
    </row>
    <row r="117" spans="8:22" s="248" customFormat="1">
      <c r="H117" s="744"/>
      <c r="I117" s="744"/>
      <c r="J117" s="744"/>
      <c r="K117" s="744"/>
      <c r="L117" s="744"/>
      <c r="M117" s="744"/>
      <c r="N117" s="744"/>
      <c r="O117" s="744"/>
      <c r="P117" s="744"/>
      <c r="Q117" s="744"/>
      <c r="R117" s="744"/>
      <c r="S117" s="744"/>
      <c r="T117" s="745"/>
      <c r="U117" s="745"/>
      <c r="V117" s="745"/>
    </row>
    <row r="118" spans="8:22" s="248" customFormat="1">
      <c r="H118" s="744"/>
      <c r="I118" s="744"/>
      <c r="J118" s="744"/>
      <c r="K118" s="744"/>
      <c r="L118" s="744"/>
      <c r="M118" s="744"/>
      <c r="N118" s="744"/>
      <c r="O118" s="744"/>
      <c r="P118" s="744"/>
      <c r="Q118" s="744"/>
      <c r="R118" s="744"/>
      <c r="S118" s="744"/>
      <c r="T118" s="745"/>
      <c r="U118" s="745"/>
      <c r="V118" s="745"/>
    </row>
    <row r="119" spans="8:22" s="248" customFormat="1">
      <c r="H119" s="744"/>
      <c r="I119" s="744"/>
      <c r="J119" s="744"/>
      <c r="K119" s="744"/>
      <c r="L119" s="744"/>
      <c r="M119" s="744"/>
      <c r="N119" s="744"/>
      <c r="O119" s="744"/>
      <c r="P119" s="744"/>
      <c r="Q119" s="744"/>
      <c r="R119" s="744"/>
      <c r="S119" s="744"/>
      <c r="T119" s="745"/>
      <c r="U119" s="745"/>
      <c r="V119" s="745"/>
    </row>
    <row r="120" spans="8:22" s="248" customFormat="1">
      <c r="H120" s="744"/>
      <c r="I120" s="744"/>
      <c r="J120" s="744"/>
      <c r="K120" s="744"/>
      <c r="L120" s="744"/>
      <c r="M120" s="744"/>
      <c r="N120" s="744"/>
      <c r="O120" s="744"/>
      <c r="P120" s="744"/>
      <c r="Q120" s="744"/>
      <c r="R120" s="744"/>
      <c r="S120" s="744"/>
      <c r="T120" s="745"/>
      <c r="U120" s="745"/>
      <c r="V120" s="745"/>
    </row>
    <row r="121" spans="8:22" s="248" customFormat="1">
      <c r="H121" s="744"/>
      <c r="I121" s="744"/>
      <c r="J121" s="744"/>
      <c r="K121" s="744"/>
      <c r="L121" s="744"/>
      <c r="M121" s="744"/>
      <c r="N121" s="744"/>
      <c r="O121" s="744"/>
      <c r="P121" s="744"/>
      <c r="Q121" s="744"/>
      <c r="R121" s="744"/>
      <c r="S121" s="744"/>
      <c r="T121" s="745"/>
      <c r="U121" s="745"/>
      <c r="V121" s="745"/>
    </row>
    <row r="122" spans="8:22" s="248" customFormat="1">
      <c r="H122" s="744"/>
      <c r="I122" s="744"/>
      <c r="J122" s="744"/>
      <c r="K122" s="744"/>
      <c r="L122" s="744"/>
      <c r="M122" s="744"/>
      <c r="N122" s="744"/>
      <c r="O122" s="744"/>
      <c r="P122" s="744"/>
      <c r="Q122" s="744"/>
      <c r="R122" s="744"/>
      <c r="S122" s="744"/>
      <c r="T122" s="745"/>
      <c r="U122" s="745"/>
      <c r="V122" s="745"/>
    </row>
    <row r="123" spans="8:22" s="248" customFormat="1">
      <c r="H123" s="744"/>
      <c r="I123" s="744"/>
      <c r="J123" s="744"/>
      <c r="K123" s="744"/>
      <c r="L123" s="744"/>
      <c r="M123" s="744"/>
      <c r="N123" s="744"/>
      <c r="O123" s="744"/>
      <c r="P123" s="744"/>
      <c r="Q123" s="744"/>
      <c r="R123" s="744"/>
      <c r="S123" s="744"/>
      <c r="T123" s="745"/>
      <c r="U123" s="745"/>
      <c r="V123" s="745"/>
    </row>
    <row r="124" spans="8:22" s="248" customFormat="1">
      <c r="H124" s="744"/>
      <c r="I124" s="744"/>
      <c r="J124" s="744"/>
      <c r="K124" s="744"/>
      <c r="L124" s="744"/>
      <c r="M124" s="744"/>
      <c r="N124" s="744"/>
      <c r="O124" s="744"/>
      <c r="P124" s="744"/>
      <c r="Q124" s="744"/>
      <c r="R124" s="744"/>
      <c r="S124" s="744"/>
      <c r="T124" s="745"/>
      <c r="U124" s="745"/>
      <c r="V124" s="745"/>
    </row>
    <row r="125" spans="8:22" s="248" customFormat="1">
      <c r="H125" s="744"/>
      <c r="I125" s="744"/>
      <c r="J125" s="744"/>
      <c r="K125" s="744"/>
      <c r="L125" s="744"/>
      <c r="M125" s="744"/>
      <c r="N125" s="744"/>
      <c r="O125" s="744"/>
      <c r="P125" s="744"/>
      <c r="Q125" s="744"/>
      <c r="R125" s="744"/>
      <c r="S125" s="744"/>
      <c r="T125" s="745"/>
      <c r="U125" s="745"/>
      <c r="V125" s="745"/>
    </row>
    <row r="126" spans="8:22" s="248" customFormat="1">
      <c r="H126" s="744"/>
      <c r="I126" s="744"/>
      <c r="J126" s="744"/>
      <c r="K126" s="744"/>
      <c r="L126" s="744"/>
      <c r="M126" s="744"/>
      <c r="N126" s="744"/>
      <c r="O126" s="744"/>
      <c r="P126" s="744"/>
      <c r="Q126" s="744"/>
      <c r="R126" s="744"/>
      <c r="S126" s="744"/>
      <c r="T126" s="745"/>
      <c r="U126" s="745"/>
      <c r="V126" s="745"/>
    </row>
  </sheetData>
  <customSheetViews>
    <customSheetView guid="{B32447E2-AB5B-4CBB-881B-FF11349CA4D6}" fitToPage="1" hiddenRows="1" hiddenColumns="1">
      <pane xSplit="6" ySplit="9" topLeftCell="G10" activePane="bottomRight" state="frozen"/>
      <selection pane="bottomRight" activeCell="B63" sqref="B63"/>
      <pageMargins left="0" right="0" top="0" bottom="0" header="0" footer="0"/>
      <pageSetup paperSize="9" scale="35" fitToHeight="0" orientation="landscape" r:id="rId1"/>
      <headerFooter scaleWithDoc="0" alignWithMargins="0">
        <oddFooter>&amp;C&amp;8&amp;P</oddFooter>
      </headerFooter>
    </customSheetView>
    <customSheetView guid="{9FA74287-E657-475B-BF4B-3C8C757714AE}" fitToPage="1" hiddenRows="1" hiddenColumns="1">
      <pane xSplit="6" ySplit="9" topLeftCell="G10" activePane="bottomRight" state="frozen"/>
      <selection pane="bottomRight" activeCell="B63" sqref="B63"/>
      <pageMargins left="0" right="0" top="0" bottom="0" header="0" footer="0"/>
      <pageSetup paperSize="9" scale="35" fitToHeight="0" orientation="landscape" r:id="rId2"/>
      <headerFooter scaleWithDoc="0" alignWithMargins="0">
        <oddFooter>&amp;C&amp;8&amp;P</oddFooter>
      </headerFooter>
    </customSheetView>
    <customSheetView guid="{54A7C567-FA7D-467E-B353-ECB5E61AE756}" fitToPage="1" hiddenRows="1" hiddenColumns="1">
      <selection activeCell="G33" sqref="G33"/>
      <pageMargins left="0" right="0" top="0" bottom="0" header="0" footer="0"/>
      <pageSetup paperSize="9" scale="35" fitToHeight="0" orientation="landscape" r:id="rId3"/>
      <headerFooter scaleWithDoc="0" alignWithMargins="0">
        <oddFooter>&amp;C&amp;8&amp;P</oddFooter>
      </headerFooter>
    </customSheetView>
  </customSheetViews>
  <mergeCells count="23">
    <mergeCell ref="C2:H2"/>
    <mergeCell ref="Y4:Y6"/>
    <mergeCell ref="T6:V6"/>
    <mergeCell ref="Q10:S10"/>
    <mergeCell ref="T4:V4"/>
    <mergeCell ref="X4:X6"/>
    <mergeCell ref="D5:D6"/>
    <mergeCell ref="H5:J6"/>
    <mergeCell ref="K5:M5"/>
    <mergeCell ref="N5:P5"/>
    <mergeCell ref="Q5:S5"/>
    <mergeCell ref="T5:V5"/>
    <mergeCell ref="K6:M6"/>
    <mergeCell ref="K4:S4"/>
    <mergeCell ref="N6:P6"/>
    <mergeCell ref="Q6:S6"/>
    <mergeCell ref="A46:X46"/>
    <mergeCell ref="A47:X47"/>
    <mergeCell ref="E4:E6"/>
    <mergeCell ref="F4:G4"/>
    <mergeCell ref="H4:J4"/>
    <mergeCell ref="A5:A6"/>
    <mergeCell ref="C4:C6"/>
  </mergeCells>
  <conditionalFormatting sqref="H11:V32">
    <cfRule type="cellIs" dxfId="78" priority="21" operator="equal">
      <formula>0</formula>
    </cfRule>
    <cfRule type="cellIs" dxfId="77" priority="22" operator="greaterThan">
      <formula>100</formula>
    </cfRule>
    <cfRule type="cellIs" dxfId="76" priority="23" operator="between">
      <formula>10</formula>
      <formula>100</formula>
    </cfRule>
    <cfRule type="cellIs" dxfId="75" priority="24" operator="between">
      <formula>1</formula>
      <formula>10</formula>
    </cfRule>
    <cfRule type="cellIs" dxfId="74" priority="25" operator="lessThan">
      <formula>1</formula>
    </cfRule>
  </conditionalFormatting>
  <conditionalFormatting sqref="H34:V45">
    <cfRule type="cellIs" dxfId="73" priority="16" operator="equal">
      <formula>0</formula>
    </cfRule>
    <cfRule type="cellIs" dxfId="72" priority="17" operator="greaterThan">
      <formula>100</formula>
    </cfRule>
    <cfRule type="cellIs" dxfId="71" priority="18" operator="between">
      <formula>10</formula>
      <formula>100</formula>
    </cfRule>
    <cfRule type="cellIs" dxfId="70" priority="19" operator="between">
      <formula>1</formula>
      <formula>10</formula>
    </cfRule>
    <cfRule type="cellIs" dxfId="69" priority="20" operator="lessThan">
      <formula>1</formula>
    </cfRule>
  </conditionalFormatting>
  <conditionalFormatting sqref="H49:V51">
    <cfRule type="cellIs" dxfId="68" priority="11" operator="equal">
      <formula>0</formula>
    </cfRule>
    <cfRule type="cellIs" dxfId="67" priority="12" operator="greaterThan">
      <formula>100</formula>
    </cfRule>
    <cfRule type="cellIs" dxfId="66" priority="13" operator="between">
      <formula>10</formula>
      <formula>100</formula>
    </cfRule>
    <cfRule type="cellIs" dxfId="65" priority="14" operator="between">
      <formula>1</formula>
      <formula>10</formula>
    </cfRule>
    <cfRule type="cellIs" dxfId="64" priority="15" operator="lessThan">
      <formula>1</formula>
    </cfRule>
  </conditionalFormatting>
  <conditionalFormatting sqref="H53:V82">
    <cfRule type="cellIs" dxfId="63" priority="6" operator="equal">
      <formula>0</formula>
    </cfRule>
    <cfRule type="cellIs" dxfId="62" priority="7" operator="greaterThan">
      <formula>100</formula>
    </cfRule>
    <cfRule type="cellIs" dxfId="61" priority="8" operator="between">
      <formula>10</formula>
      <formula>100</formula>
    </cfRule>
    <cfRule type="cellIs" dxfId="60" priority="9" operator="between">
      <formula>1</formula>
      <formula>10</formula>
    </cfRule>
    <cfRule type="cellIs" dxfId="59" priority="10" operator="lessThan">
      <formula>1</formula>
    </cfRule>
  </conditionalFormatting>
  <conditionalFormatting sqref="H84:V85">
    <cfRule type="cellIs" dxfId="58" priority="1" operator="equal">
      <formula>0</formula>
    </cfRule>
    <cfRule type="cellIs" dxfId="57" priority="2" operator="greaterThan">
      <formula>100</formula>
    </cfRule>
    <cfRule type="cellIs" dxfId="56" priority="3" operator="between">
      <formula>10</formula>
      <formula>100</formula>
    </cfRule>
    <cfRule type="cellIs" dxfId="55" priority="4" operator="between">
      <formula>1</formula>
      <formula>10</formula>
    </cfRule>
    <cfRule type="cellIs" dxfId="54" priority="5" operator="lessThan">
      <formula>1</formula>
    </cfRule>
  </conditionalFormatting>
  <pageMargins left="0" right="0" top="0" bottom="0" header="0" footer="0"/>
  <pageSetup paperSize="9" scale="35" fitToHeight="0" orientation="landscape" r:id="rId4"/>
  <headerFooter scaleWithDoc="0" alignWithMargins="0">
    <oddFooter>&amp;C&amp;8&amp;P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22">
    <tabColor theme="9" tint="0.39997558519241921"/>
    <outlinePr summaryRight="0"/>
    <pageSetUpPr autoPageBreaks="0" fitToPage="1"/>
  </sheetPr>
  <dimension ref="A1:AE98"/>
  <sheetViews>
    <sheetView workbookViewId="0"/>
  </sheetViews>
  <sheetFormatPr baseColWidth="10" defaultColWidth="10" defaultRowHeight="12.75" outlineLevelRow="1" outlineLevelCol="1"/>
  <cols>
    <col min="1" max="1" width="9.375" style="248" customWidth="1" collapsed="1"/>
    <col min="2" max="2" width="36.625" style="248" hidden="1" customWidth="1" outlineLevel="1"/>
    <col min="3" max="3" width="25.875" style="249" customWidth="1"/>
    <col min="4" max="4" width="13.25" style="250" customWidth="1"/>
    <col min="5" max="5" width="6.75" style="248" customWidth="1"/>
    <col min="6" max="8" width="9.375" style="248" customWidth="1"/>
    <col min="9" max="9" width="9.375" style="248" customWidth="1" collapsed="1"/>
    <col min="10" max="13" width="9.375" style="248" hidden="1" customWidth="1" outlineLevel="1"/>
    <col min="14" max="25" width="9.375" style="248" customWidth="1"/>
    <col min="26" max="26" width="12.625" style="250" customWidth="1"/>
    <col min="27" max="27" width="32.75" style="743" customWidth="1"/>
    <col min="28" max="29" width="9.5" style="248" customWidth="1"/>
    <col min="30" max="30" width="25" style="248" customWidth="1"/>
    <col min="31" max="31" width="22.125" style="248" customWidth="1"/>
    <col min="32" max="16384" width="10" style="248"/>
  </cols>
  <sheetData>
    <row r="1" spans="1:31" s="1222" customFormat="1" ht="19.5" customHeight="1">
      <c r="A1" s="127"/>
      <c r="B1" s="747"/>
      <c r="C1" s="753" t="s">
        <v>961</v>
      </c>
      <c r="D1" s="754"/>
      <c r="E1" s="754"/>
      <c r="F1" s="754"/>
      <c r="G1" s="755"/>
      <c r="H1" s="755"/>
      <c r="I1" s="755"/>
      <c r="J1" s="754"/>
      <c r="K1" s="756"/>
      <c r="L1" s="755"/>
      <c r="M1" s="755"/>
      <c r="N1" s="754"/>
      <c r="O1" s="756" t="s">
        <v>3874</v>
      </c>
      <c r="P1" s="755"/>
      <c r="Q1" s="755"/>
      <c r="R1" s="755"/>
      <c r="S1" s="755"/>
      <c r="T1" s="755"/>
      <c r="U1" s="755"/>
      <c r="V1" s="755"/>
      <c r="W1" s="755"/>
      <c r="X1" s="755"/>
      <c r="Y1" s="755"/>
      <c r="Z1" s="754"/>
      <c r="AA1" s="757" t="s">
        <v>962</v>
      </c>
      <c r="AB1" s="1231"/>
    </row>
    <row r="2" spans="1:31" s="1226" customFormat="1" ht="14.25" customHeight="1">
      <c r="A2" s="128"/>
      <c r="B2" s="748"/>
      <c r="C2" s="758"/>
      <c r="D2" s="1345"/>
      <c r="E2" s="1346"/>
      <c r="F2" s="1346"/>
      <c r="G2" s="759"/>
      <c r="H2" s="759"/>
      <c r="I2" s="759"/>
      <c r="J2" s="759"/>
      <c r="K2" s="759"/>
      <c r="L2" s="759"/>
      <c r="M2" s="759"/>
      <c r="N2" s="759"/>
      <c r="O2" s="759"/>
      <c r="P2" s="759"/>
      <c r="Q2" s="759"/>
      <c r="R2" s="759"/>
      <c r="S2" s="759"/>
      <c r="T2" s="759"/>
      <c r="U2" s="759"/>
      <c r="V2" s="759"/>
      <c r="W2" s="759"/>
      <c r="X2" s="759"/>
      <c r="Y2" s="759"/>
      <c r="Z2" s="759"/>
      <c r="AA2" s="714"/>
      <c r="AB2" s="1232"/>
      <c r="AC2" s="1232"/>
      <c r="AD2" s="1232"/>
      <c r="AE2" s="1232"/>
    </row>
    <row r="3" spans="1:31" s="1235" customFormat="1" ht="27.75" hidden="1" customHeight="1" outlineLevel="1">
      <c r="A3" s="1185"/>
      <c r="B3" s="1185"/>
      <c r="C3" s="1186" t="s">
        <v>2989</v>
      </c>
      <c r="D3" s="1187"/>
      <c r="E3" s="1187" t="s">
        <v>2989</v>
      </c>
      <c r="F3" s="1187" t="s">
        <v>1007</v>
      </c>
      <c r="G3" s="1187" t="s">
        <v>1007</v>
      </c>
      <c r="H3" s="1187" t="s">
        <v>1007</v>
      </c>
      <c r="I3" s="1187" t="s">
        <v>1007</v>
      </c>
      <c r="J3" s="1187" t="s">
        <v>2610</v>
      </c>
      <c r="K3" s="1187" t="s">
        <v>2610</v>
      </c>
      <c r="L3" s="1187" t="s">
        <v>2610</v>
      </c>
      <c r="M3" s="1187" t="s">
        <v>2610</v>
      </c>
      <c r="N3" s="1187" t="s">
        <v>2611</v>
      </c>
      <c r="O3" s="1187" t="s">
        <v>2611</v>
      </c>
      <c r="P3" s="1187" t="s">
        <v>2611</v>
      </c>
      <c r="Q3" s="1187" t="s">
        <v>2611</v>
      </c>
      <c r="R3" s="1187" t="s">
        <v>2612</v>
      </c>
      <c r="S3" s="1187" t="s">
        <v>2612</v>
      </c>
      <c r="T3" s="1187" t="s">
        <v>2612</v>
      </c>
      <c r="U3" s="1187" t="s">
        <v>2612</v>
      </c>
      <c r="V3" s="1187" t="s">
        <v>2613</v>
      </c>
      <c r="W3" s="1187" t="s">
        <v>2613</v>
      </c>
      <c r="X3" s="1187" t="s">
        <v>2613</v>
      </c>
      <c r="Y3" s="1187" t="s">
        <v>2613</v>
      </c>
      <c r="Z3" s="1187"/>
      <c r="AA3" s="1188" t="s">
        <v>2989</v>
      </c>
      <c r="AB3" s="1233"/>
      <c r="AC3" s="1233"/>
      <c r="AD3" s="1234"/>
    </row>
    <row r="4" spans="1:31" ht="25.5" customHeight="1" collapsed="1">
      <c r="A4" s="115" t="s">
        <v>970</v>
      </c>
      <c r="B4" s="17" t="s">
        <v>971</v>
      </c>
      <c r="C4" s="2083" t="s">
        <v>3378</v>
      </c>
      <c r="D4" s="760" t="s">
        <v>507</v>
      </c>
      <c r="E4" s="761"/>
      <c r="F4" s="2086" t="s">
        <v>977</v>
      </c>
      <c r="G4" s="2087"/>
      <c r="H4" s="2087"/>
      <c r="I4" s="2088"/>
      <c r="J4" s="2089" t="s">
        <v>978</v>
      </c>
      <c r="K4" s="2090"/>
      <c r="L4" s="2090"/>
      <c r="M4" s="2090"/>
      <c r="N4" s="2090"/>
      <c r="O4" s="2090"/>
      <c r="P4" s="2090"/>
      <c r="Q4" s="2090"/>
      <c r="R4" s="2090"/>
      <c r="S4" s="2090"/>
      <c r="T4" s="2090"/>
      <c r="U4" s="2091"/>
      <c r="V4" s="2070" t="s">
        <v>3379</v>
      </c>
      <c r="W4" s="2071"/>
      <c r="X4" s="2071"/>
      <c r="Y4" s="2072"/>
      <c r="Z4" s="762" t="s">
        <v>504</v>
      </c>
      <c r="AA4" s="2073" t="s">
        <v>3380</v>
      </c>
    </row>
    <row r="5" spans="1:31" ht="14.25" customHeight="1">
      <c r="A5" s="2037" t="s">
        <v>983</v>
      </c>
      <c r="B5" s="749"/>
      <c r="C5" s="2084"/>
      <c r="D5" s="763"/>
      <c r="E5" s="764"/>
      <c r="F5" s="2078" t="s">
        <v>985</v>
      </c>
      <c r="G5" s="2079"/>
      <c r="H5" s="2079"/>
      <c r="I5" s="2080"/>
      <c r="J5" s="2081" t="s">
        <v>986</v>
      </c>
      <c r="K5" s="2082"/>
      <c r="L5" s="2082"/>
      <c r="M5" s="2082"/>
      <c r="N5" s="2081" t="s">
        <v>987</v>
      </c>
      <c r="O5" s="2082"/>
      <c r="P5" s="2082"/>
      <c r="Q5" s="2082"/>
      <c r="R5" s="2081" t="s">
        <v>2616</v>
      </c>
      <c r="S5" s="2082"/>
      <c r="T5" s="2082"/>
      <c r="U5" s="2082"/>
      <c r="V5" s="2063" t="s">
        <v>3381</v>
      </c>
      <c r="W5" s="2064"/>
      <c r="X5" s="2064"/>
      <c r="Y5" s="2065"/>
      <c r="Z5" s="765"/>
      <c r="AA5" s="2074"/>
    </row>
    <row r="6" spans="1:31" ht="12.75" customHeight="1">
      <c r="A6" s="2038"/>
      <c r="B6" s="467"/>
      <c r="C6" s="2085"/>
      <c r="D6" s="1349" t="s">
        <v>2617</v>
      </c>
      <c r="E6" s="1343"/>
      <c r="F6" s="2078"/>
      <c r="G6" s="2079"/>
      <c r="H6" s="2079"/>
      <c r="I6" s="2080"/>
      <c r="J6" s="2076" t="s">
        <v>991</v>
      </c>
      <c r="K6" s="2077"/>
      <c r="L6" s="2077"/>
      <c r="M6" s="2077"/>
      <c r="N6" s="2076" t="s">
        <v>992</v>
      </c>
      <c r="O6" s="2077"/>
      <c r="P6" s="2077"/>
      <c r="Q6" s="2077"/>
      <c r="R6" s="2076" t="s">
        <v>2618</v>
      </c>
      <c r="S6" s="2077"/>
      <c r="T6" s="2077"/>
      <c r="U6" s="2077"/>
      <c r="V6" s="2066"/>
      <c r="W6" s="2067"/>
      <c r="X6" s="2067"/>
      <c r="Y6" s="2068"/>
      <c r="Z6" s="1348" t="s">
        <v>2619</v>
      </c>
      <c r="AA6" s="2075"/>
    </row>
    <row r="7" spans="1:31" ht="14.25" customHeight="1">
      <c r="A7" s="129"/>
      <c r="B7" s="750"/>
      <c r="C7" s="766"/>
      <c r="D7" s="767"/>
      <c r="E7" s="768"/>
      <c r="F7" s="769" t="s">
        <v>265</v>
      </c>
      <c r="G7" s="770" t="s">
        <v>3382</v>
      </c>
      <c r="H7" s="771" t="s">
        <v>3383</v>
      </c>
      <c r="I7" s="770" t="s">
        <v>3384</v>
      </c>
      <c r="J7" s="772" t="s">
        <v>265</v>
      </c>
      <c r="K7" s="773" t="s">
        <v>3382</v>
      </c>
      <c r="L7" s="773" t="s">
        <v>3383</v>
      </c>
      <c r="M7" s="773" t="s">
        <v>3384</v>
      </c>
      <c r="N7" s="774" t="s">
        <v>265</v>
      </c>
      <c r="O7" s="773" t="s">
        <v>3382</v>
      </c>
      <c r="P7" s="773" t="s">
        <v>3383</v>
      </c>
      <c r="Q7" s="773" t="s">
        <v>3384</v>
      </c>
      <c r="R7" s="774" t="s">
        <v>265</v>
      </c>
      <c r="S7" s="773" t="s">
        <v>3382</v>
      </c>
      <c r="T7" s="773" t="s">
        <v>3383</v>
      </c>
      <c r="U7" s="773" t="s">
        <v>3384</v>
      </c>
      <c r="V7" s="774" t="s">
        <v>265</v>
      </c>
      <c r="W7" s="773" t="s">
        <v>3382</v>
      </c>
      <c r="X7" s="773" t="s">
        <v>3383</v>
      </c>
      <c r="Y7" s="773" t="s">
        <v>3384</v>
      </c>
      <c r="Z7" s="775"/>
      <c r="AA7" s="776"/>
    </row>
    <row r="8" spans="1:31" s="210" customFormat="1" ht="14.25" customHeight="1">
      <c r="A8" s="23"/>
      <c r="B8" s="751"/>
      <c r="C8" s="766"/>
      <c r="D8" s="767"/>
      <c r="E8" s="777"/>
      <c r="F8" s="778" t="s">
        <v>265</v>
      </c>
      <c r="G8" s="779" t="s">
        <v>46</v>
      </c>
      <c r="H8" s="779" t="s">
        <v>3385</v>
      </c>
      <c r="I8" s="779" t="s">
        <v>3386</v>
      </c>
      <c r="J8" s="780" t="s">
        <v>265</v>
      </c>
      <c r="K8" s="781" t="s">
        <v>46</v>
      </c>
      <c r="L8" s="781" t="s">
        <v>3385</v>
      </c>
      <c r="M8" s="781" t="s">
        <v>3386</v>
      </c>
      <c r="N8" s="782" t="s">
        <v>265</v>
      </c>
      <c r="O8" s="781" t="s">
        <v>46</v>
      </c>
      <c r="P8" s="781" t="s">
        <v>3385</v>
      </c>
      <c r="Q8" s="781" t="s">
        <v>3386</v>
      </c>
      <c r="R8" s="782" t="s">
        <v>265</v>
      </c>
      <c r="S8" s="781" t="s">
        <v>46</v>
      </c>
      <c r="T8" s="781" t="s">
        <v>3385</v>
      </c>
      <c r="U8" s="781" t="s">
        <v>3386</v>
      </c>
      <c r="V8" s="782" t="s">
        <v>265</v>
      </c>
      <c r="W8" s="781" t="s">
        <v>46</v>
      </c>
      <c r="X8" s="781" t="s">
        <v>3385</v>
      </c>
      <c r="Y8" s="781" t="s">
        <v>3386</v>
      </c>
      <c r="Z8" s="767"/>
      <c r="AA8" s="776"/>
      <c r="AB8" s="248"/>
      <c r="AC8" s="248"/>
      <c r="AD8" s="248"/>
    </row>
    <row r="9" spans="1:31" s="210" customFormat="1" ht="24">
      <c r="A9" s="26"/>
      <c r="B9" s="752"/>
      <c r="C9" s="783"/>
      <c r="D9" s="784"/>
      <c r="E9" s="785" t="s">
        <v>2620</v>
      </c>
      <c r="F9" s="786" t="s">
        <v>1007</v>
      </c>
      <c r="G9" s="786" t="s">
        <v>1007</v>
      </c>
      <c r="H9" s="786" t="s">
        <v>1007</v>
      </c>
      <c r="I9" s="786" t="s">
        <v>1007</v>
      </c>
      <c r="J9" s="787" t="s">
        <v>1008</v>
      </c>
      <c r="K9" s="787" t="s">
        <v>1008</v>
      </c>
      <c r="L9" s="787" t="s">
        <v>1008</v>
      </c>
      <c r="M9" s="787" t="s">
        <v>1008</v>
      </c>
      <c r="N9" s="787" t="s">
        <v>1008</v>
      </c>
      <c r="O9" s="787" t="s">
        <v>1008</v>
      </c>
      <c r="P9" s="787" t="s">
        <v>1008</v>
      </c>
      <c r="Q9" s="787" t="s">
        <v>1008</v>
      </c>
      <c r="R9" s="787" t="s">
        <v>1008</v>
      </c>
      <c r="S9" s="787" t="s">
        <v>1008</v>
      </c>
      <c r="T9" s="787" t="s">
        <v>1008</v>
      </c>
      <c r="U9" s="787" t="s">
        <v>1008</v>
      </c>
      <c r="V9" s="207" t="s">
        <v>1009</v>
      </c>
      <c r="W9" s="207" t="s">
        <v>1009</v>
      </c>
      <c r="X9" s="207" t="s">
        <v>1009</v>
      </c>
      <c r="Y9" s="207" t="s">
        <v>1009</v>
      </c>
      <c r="Z9" s="784"/>
      <c r="AA9" s="788"/>
      <c r="AB9" s="467"/>
      <c r="AC9" s="248"/>
      <c r="AD9" s="248"/>
    </row>
    <row r="10" spans="1:31" s="190" customFormat="1" ht="15" customHeight="1">
      <c r="A10" s="130" t="s">
        <v>3387</v>
      </c>
      <c r="B10" s="130"/>
      <c r="C10" s="460" t="s">
        <v>3388</v>
      </c>
      <c r="D10" s="461"/>
      <c r="E10" s="462"/>
      <c r="F10" s="463"/>
      <c r="G10" s="463"/>
      <c r="H10" s="463"/>
      <c r="I10" s="463"/>
      <c r="J10" s="463"/>
      <c r="K10" s="463"/>
      <c r="L10" s="463"/>
      <c r="M10" s="463"/>
      <c r="N10" s="463"/>
      <c r="O10" s="463"/>
      <c r="P10" s="463"/>
      <c r="Q10" s="463"/>
      <c r="R10" s="464"/>
      <c r="S10" s="464"/>
      <c r="T10" s="464"/>
      <c r="U10" s="464"/>
      <c r="V10" s="463"/>
      <c r="W10" s="463"/>
      <c r="X10" s="463"/>
      <c r="Y10" s="463"/>
      <c r="Z10" s="465"/>
      <c r="AA10" s="466" t="s">
        <v>3389</v>
      </c>
      <c r="AB10" s="467"/>
      <c r="AC10" s="248"/>
      <c r="AD10" s="248"/>
    </row>
    <row r="11" spans="1:31" s="190" customFormat="1" ht="15" customHeight="1">
      <c r="A11" s="121" t="s">
        <v>3390</v>
      </c>
      <c r="B11" s="217" t="s">
        <v>3391</v>
      </c>
      <c r="C11" s="468" t="s">
        <v>3392</v>
      </c>
      <c r="D11" s="469" t="s">
        <v>3005</v>
      </c>
      <c r="E11" s="469" t="s">
        <v>186</v>
      </c>
      <c r="F11" s="220">
        <v>477</v>
      </c>
      <c r="G11" s="470">
        <v>477</v>
      </c>
      <c r="H11" s="471"/>
      <c r="I11" s="471"/>
      <c r="J11" s="472">
        <v>1.28</v>
      </c>
      <c r="K11" s="473">
        <v>1.28</v>
      </c>
      <c r="L11" s="473"/>
      <c r="M11" s="473"/>
      <c r="N11" s="472">
        <v>2.4E-2</v>
      </c>
      <c r="O11" s="473">
        <v>2.4E-2</v>
      </c>
      <c r="P11" s="473"/>
      <c r="Q11" s="473"/>
      <c r="R11" s="473">
        <v>1.25</v>
      </c>
      <c r="S11" s="473">
        <v>1.25</v>
      </c>
      <c r="T11" s="473"/>
      <c r="U11" s="473"/>
      <c r="V11" s="473">
        <v>0.33800000000000002</v>
      </c>
      <c r="W11" s="473">
        <v>0.33800000000000002</v>
      </c>
      <c r="X11" s="423">
        <v>0</v>
      </c>
      <c r="Y11" s="423">
        <v>0</v>
      </c>
      <c r="Z11" s="469" t="s">
        <v>3006</v>
      </c>
      <c r="AA11" s="474" t="s">
        <v>3393</v>
      </c>
      <c r="AB11" s="248"/>
      <c r="AC11" s="248"/>
      <c r="AD11" s="248"/>
    </row>
    <row r="12" spans="1:31" s="190" customFormat="1" ht="15" customHeight="1">
      <c r="A12" s="121" t="s">
        <v>3394</v>
      </c>
      <c r="B12" s="217" t="s">
        <v>3395</v>
      </c>
      <c r="C12" s="468" t="s">
        <v>3396</v>
      </c>
      <c r="D12" s="469" t="s">
        <v>3005</v>
      </c>
      <c r="E12" s="469" t="s">
        <v>186</v>
      </c>
      <c r="F12" s="220">
        <v>813</v>
      </c>
      <c r="G12" s="470">
        <v>813</v>
      </c>
      <c r="H12" s="471"/>
      <c r="I12" s="471"/>
      <c r="J12" s="472">
        <v>1.28</v>
      </c>
      <c r="K12" s="473">
        <v>1.28</v>
      </c>
      <c r="L12" s="423"/>
      <c r="M12" s="423"/>
      <c r="N12" s="472">
        <v>2.4500000000000001E-2</v>
      </c>
      <c r="O12" s="473">
        <v>2.4500000000000001E-2</v>
      </c>
      <c r="P12" s="473"/>
      <c r="Q12" s="473"/>
      <c r="R12" s="473">
        <v>1.26</v>
      </c>
      <c r="S12" s="473">
        <v>1.26</v>
      </c>
      <c r="T12" s="473"/>
      <c r="U12" s="473"/>
      <c r="V12" s="473">
        <v>0.39600000000000002</v>
      </c>
      <c r="W12" s="473">
        <v>0.39600000000000002</v>
      </c>
      <c r="X12" s="423">
        <v>0</v>
      </c>
      <c r="Y12" s="423">
        <v>0</v>
      </c>
      <c r="Z12" s="469" t="s">
        <v>3006</v>
      </c>
      <c r="AA12" s="474" t="s">
        <v>3397</v>
      </c>
      <c r="AB12" s="248"/>
      <c r="AC12" s="248"/>
      <c r="AD12" s="248"/>
    </row>
    <row r="13" spans="1:31" s="190" customFormat="1" ht="15" customHeight="1">
      <c r="A13" s="121" t="s">
        <v>3398</v>
      </c>
      <c r="B13" s="217" t="s">
        <v>3399</v>
      </c>
      <c r="C13" s="468" t="s">
        <v>3400</v>
      </c>
      <c r="D13" s="469" t="s">
        <v>3005</v>
      </c>
      <c r="E13" s="469" t="s">
        <v>186</v>
      </c>
      <c r="F13" s="220">
        <v>188</v>
      </c>
      <c r="G13" s="470">
        <v>188</v>
      </c>
      <c r="H13" s="471"/>
      <c r="I13" s="471"/>
      <c r="J13" s="472">
        <v>0.35699999999999998</v>
      </c>
      <c r="K13" s="473">
        <v>0.35699999999999998</v>
      </c>
      <c r="L13" s="423"/>
      <c r="M13" s="423"/>
      <c r="N13" s="472">
        <v>3.6799999999999999E-2</v>
      </c>
      <c r="O13" s="473">
        <v>3.6799999999999999E-2</v>
      </c>
      <c r="P13" s="473"/>
      <c r="Q13" s="473"/>
      <c r="R13" s="473">
        <v>0.32</v>
      </c>
      <c r="S13" s="473">
        <v>0.32</v>
      </c>
      <c r="T13" s="473"/>
      <c r="U13" s="473"/>
      <c r="V13" s="473">
        <v>0.114</v>
      </c>
      <c r="W13" s="473">
        <v>0.114</v>
      </c>
      <c r="X13" s="423">
        <v>0</v>
      </c>
      <c r="Y13" s="423">
        <v>0</v>
      </c>
      <c r="Z13" s="469" t="s">
        <v>3006</v>
      </c>
      <c r="AA13" s="474" t="s">
        <v>3401</v>
      </c>
      <c r="AB13" s="248"/>
      <c r="AC13" s="248"/>
      <c r="AD13" s="248"/>
    </row>
    <row r="14" spans="1:31" s="190" customFormat="1" ht="15" customHeight="1">
      <c r="A14" s="121" t="s">
        <v>3402</v>
      </c>
      <c r="B14" s="217" t="s">
        <v>3403</v>
      </c>
      <c r="C14" s="468" t="s">
        <v>3404</v>
      </c>
      <c r="D14" s="469" t="s">
        <v>3005</v>
      </c>
      <c r="E14" s="469" t="s">
        <v>186</v>
      </c>
      <c r="F14" s="220">
        <v>513</v>
      </c>
      <c r="G14" s="470">
        <v>513</v>
      </c>
      <c r="H14" s="471"/>
      <c r="I14" s="471"/>
      <c r="J14" s="472">
        <v>1.24</v>
      </c>
      <c r="K14" s="473">
        <v>1.24</v>
      </c>
      <c r="L14" s="423"/>
      <c r="M14" s="423"/>
      <c r="N14" s="472">
        <v>6.8100000000000001E-3</v>
      </c>
      <c r="O14" s="473">
        <v>6.8100000000000001E-3</v>
      </c>
      <c r="P14" s="473"/>
      <c r="Q14" s="473"/>
      <c r="R14" s="473">
        <v>1.23</v>
      </c>
      <c r="S14" s="473">
        <v>1.23</v>
      </c>
      <c r="T14" s="473"/>
      <c r="U14" s="473"/>
      <c r="V14" s="473">
        <v>0.32400000000000001</v>
      </c>
      <c r="W14" s="473">
        <v>0.32400000000000001</v>
      </c>
      <c r="X14" s="423">
        <v>0</v>
      </c>
      <c r="Y14" s="423">
        <v>0</v>
      </c>
      <c r="Z14" s="469" t="s">
        <v>3006</v>
      </c>
      <c r="AA14" s="474" t="s">
        <v>3405</v>
      </c>
      <c r="AB14" s="248"/>
      <c r="AC14" s="248"/>
      <c r="AD14" s="248"/>
    </row>
    <row r="15" spans="1:31" s="190" customFormat="1" ht="15" customHeight="1">
      <c r="A15" s="121" t="s">
        <v>3406</v>
      </c>
      <c r="B15" s="217" t="s">
        <v>3407</v>
      </c>
      <c r="C15" s="468" t="s">
        <v>3408</v>
      </c>
      <c r="D15" s="469" t="s">
        <v>3005</v>
      </c>
      <c r="E15" s="469" t="s">
        <v>186</v>
      </c>
      <c r="F15" s="220">
        <v>565</v>
      </c>
      <c r="G15" s="470">
        <v>565</v>
      </c>
      <c r="H15" s="471"/>
      <c r="I15" s="471"/>
      <c r="J15" s="472">
        <v>1.24</v>
      </c>
      <c r="K15" s="473">
        <v>1.24</v>
      </c>
      <c r="L15" s="423"/>
      <c r="M15" s="423"/>
      <c r="N15" s="472">
        <v>5.11E-2</v>
      </c>
      <c r="O15" s="473">
        <v>5.11E-2</v>
      </c>
      <c r="P15" s="473"/>
      <c r="Q15" s="473"/>
      <c r="R15" s="473">
        <v>1.19</v>
      </c>
      <c r="S15" s="473">
        <v>1.19</v>
      </c>
      <c r="T15" s="473"/>
      <c r="U15" s="473"/>
      <c r="V15" s="473">
        <v>0.32</v>
      </c>
      <c r="W15" s="473">
        <v>0.32</v>
      </c>
      <c r="X15" s="423">
        <v>0</v>
      </c>
      <c r="Y15" s="423">
        <v>0</v>
      </c>
      <c r="Z15" s="469" t="s">
        <v>3006</v>
      </c>
      <c r="AA15" s="474" t="s">
        <v>3409</v>
      </c>
      <c r="AB15" s="248"/>
      <c r="AC15" s="248"/>
      <c r="AD15" s="248"/>
    </row>
    <row r="16" spans="1:31" s="190" customFormat="1" ht="15" customHeight="1">
      <c r="A16" s="121" t="s">
        <v>3410</v>
      </c>
      <c r="B16" s="217" t="s">
        <v>3411</v>
      </c>
      <c r="C16" s="468" t="s">
        <v>3412</v>
      </c>
      <c r="D16" s="469" t="s">
        <v>3005</v>
      </c>
      <c r="E16" s="469" t="s">
        <v>186</v>
      </c>
      <c r="F16" s="220">
        <v>487</v>
      </c>
      <c r="G16" s="470">
        <v>487</v>
      </c>
      <c r="H16" s="471"/>
      <c r="I16" s="471"/>
      <c r="J16" s="472">
        <v>1.2</v>
      </c>
      <c r="K16" s="473">
        <v>1.2</v>
      </c>
      <c r="L16" s="423"/>
      <c r="M16" s="423"/>
      <c r="N16" s="472">
        <v>5.3200000000000001E-3</v>
      </c>
      <c r="O16" s="473">
        <v>5.3200000000000001E-3</v>
      </c>
      <c r="P16" s="473"/>
      <c r="Q16" s="473"/>
      <c r="R16" s="473">
        <v>1.2</v>
      </c>
      <c r="S16" s="473">
        <v>1.2</v>
      </c>
      <c r="T16" s="473"/>
      <c r="U16" s="473"/>
      <c r="V16" s="473">
        <v>0.32800000000000001</v>
      </c>
      <c r="W16" s="473">
        <v>0.32800000000000001</v>
      </c>
      <c r="X16" s="423">
        <v>0</v>
      </c>
      <c r="Y16" s="423">
        <v>0</v>
      </c>
      <c r="Z16" s="469" t="s">
        <v>3006</v>
      </c>
      <c r="AA16" s="474" t="s">
        <v>3413</v>
      </c>
      <c r="AB16" s="248"/>
      <c r="AC16" s="248"/>
      <c r="AD16" s="248"/>
    </row>
    <row r="17" spans="1:30" s="190" customFormat="1" ht="15" customHeight="1">
      <c r="A17" s="121" t="s">
        <v>3414</v>
      </c>
      <c r="B17" s="217" t="s">
        <v>3415</v>
      </c>
      <c r="C17" s="468" t="s">
        <v>3416</v>
      </c>
      <c r="D17" s="469" t="s">
        <v>3005</v>
      </c>
      <c r="E17" s="469" t="s">
        <v>186</v>
      </c>
      <c r="F17" s="220">
        <v>326</v>
      </c>
      <c r="G17" s="470">
        <v>326</v>
      </c>
      <c r="H17" s="471"/>
      <c r="I17" s="471"/>
      <c r="J17" s="472">
        <v>1.1299999999999999</v>
      </c>
      <c r="K17" s="473">
        <v>1.1299999999999999</v>
      </c>
      <c r="L17" s="423"/>
      <c r="M17" s="423"/>
      <c r="N17" s="472">
        <v>1.1299999999999999E-2</v>
      </c>
      <c r="O17" s="473">
        <v>1.1299999999999999E-2</v>
      </c>
      <c r="P17" s="473"/>
      <c r="Q17" s="473"/>
      <c r="R17" s="473">
        <v>1.1200000000000001</v>
      </c>
      <c r="S17" s="473">
        <v>1.1200000000000001</v>
      </c>
      <c r="T17" s="473"/>
      <c r="U17" s="473"/>
      <c r="V17" s="473">
        <v>0.23599999999999999</v>
      </c>
      <c r="W17" s="473">
        <v>0.23599999999999999</v>
      </c>
      <c r="X17" s="423">
        <v>0</v>
      </c>
      <c r="Y17" s="423">
        <v>0</v>
      </c>
      <c r="Z17" s="469" t="s">
        <v>3006</v>
      </c>
      <c r="AA17" s="474" t="s">
        <v>3417</v>
      </c>
      <c r="AB17" s="248"/>
      <c r="AC17" s="248"/>
      <c r="AD17" s="248"/>
    </row>
    <row r="18" spans="1:30" s="190" customFormat="1" ht="15" customHeight="1">
      <c r="A18" s="475" t="s">
        <v>3418</v>
      </c>
      <c r="B18" s="217" t="s">
        <v>3419</v>
      </c>
      <c r="C18" s="468" t="s">
        <v>3420</v>
      </c>
      <c r="D18" s="469" t="s">
        <v>3005</v>
      </c>
      <c r="E18" s="469" t="s">
        <v>186</v>
      </c>
      <c r="F18" s="220">
        <v>775</v>
      </c>
      <c r="G18" s="470">
        <v>775</v>
      </c>
      <c r="H18" s="471"/>
      <c r="I18" s="471"/>
      <c r="J18" s="472">
        <v>1.23</v>
      </c>
      <c r="K18" s="473">
        <v>1.23</v>
      </c>
      <c r="L18" s="423"/>
      <c r="M18" s="423"/>
      <c r="N18" s="472">
        <v>5.4200000000000003E-3</v>
      </c>
      <c r="O18" s="473">
        <v>5.4200000000000003E-3</v>
      </c>
      <c r="P18" s="473"/>
      <c r="Q18" s="473"/>
      <c r="R18" s="473">
        <v>1.22</v>
      </c>
      <c r="S18" s="473">
        <v>1.22</v>
      </c>
      <c r="T18" s="473"/>
      <c r="U18" s="473"/>
      <c r="V18" s="473">
        <v>0.66400000000000003</v>
      </c>
      <c r="W18" s="473">
        <v>0.66400000000000003</v>
      </c>
      <c r="X18" s="423">
        <v>0</v>
      </c>
      <c r="Y18" s="423">
        <v>0</v>
      </c>
      <c r="Z18" s="469" t="s">
        <v>3006</v>
      </c>
      <c r="AA18" s="474" t="s">
        <v>3421</v>
      </c>
      <c r="AB18" s="248"/>
      <c r="AC18" s="248"/>
      <c r="AD18" s="248"/>
    </row>
    <row r="19" spans="1:30" s="190" customFormat="1" ht="28.5" customHeight="1">
      <c r="A19" s="121" t="s">
        <v>3422</v>
      </c>
      <c r="B19" s="217" t="s">
        <v>3423</v>
      </c>
      <c r="C19" s="476" t="s">
        <v>3424</v>
      </c>
      <c r="D19" s="469" t="s">
        <v>3005</v>
      </c>
      <c r="E19" s="469" t="s">
        <v>186</v>
      </c>
      <c r="F19" s="224">
        <v>630</v>
      </c>
      <c r="G19" s="477">
        <v>630</v>
      </c>
      <c r="H19" s="478"/>
      <c r="I19" s="478"/>
      <c r="J19" s="479">
        <v>2.65</v>
      </c>
      <c r="K19" s="480">
        <v>2.65</v>
      </c>
      <c r="L19" s="481"/>
      <c r="M19" s="481"/>
      <c r="N19" s="479">
        <v>0.56899999999999995</v>
      </c>
      <c r="O19" s="480">
        <v>0.56899999999999995</v>
      </c>
      <c r="P19" s="480"/>
      <c r="Q19" s="480"/>
      <c r="R19" s="480">
        <v>2.08</v>
      </c>
      <c r="S19" s="480">
        <v>2.08</v>
      </c>
      <c r="T19" s="480"/>
      <c r="U19" s="480"/>
      <c r="V19" s="480">
        <v>0.158</v>
      </c>
      <c r="W19" s="480">
        <v>0.158</v>
      </c>
      <c r="X19" s="423">
        <v>0</v>
      </c>
      <c r="Y19" s="423">
        <v>0</v>
      </c>
      <c r="Z19" s="469" t="s">
        <v>3006</v>
      </c>
      <c r="AA19" s="482" t="s">
        <v>3425</v>
      </c>
      <c r="AB19" s="248"/>
      <c r="AC19" s="248"/>
      <c r="AD19" s="248"/>
    </row>
    <row r="20" spans="1:30" s="235" customFormat="1" ht="41.1" customHeight="1">
      <c r="A20" s="458" t="s">
        <v>3426</v>
      </c>
      <c r="B20" s="217" t="s">
        <v>3427</v>
      </c>
      <c r="C20" s="476" t="s">
        <v>3428</v>
      </c>
      <c r="D20" s="483" t="s">
        <v>3005</v>
      </c>
      <c r="E20" s="483" t="s">
        <v>186</v>
      </c>
      <c r="F20" s="224">
        <v>197</v>
      </c>
      <c r="G20" s="477">
        <v>197</v>
      </c>
      <c r="H20" s="478"/>
      <c r="I20" s="478"/>
      <c r="J20" s="479">
        <v>1.19</v>
      </c>
      <c r="K20" s="480">
        <v>1.19</v>
      </c>
      <c r="L20" s="481"/>
      <c r="M20" s="481"/>
      <c r="N20" s="479">
        <v>1.1599999999999999</v>
      </c>
      <c r="O20" s="480">
        <v>1.1599999999999999</v>
      </c>
      <c r="P20" s="480"/>
      <c r="Q20" s="480"/>
      <c r="R20" s="480">
        <v>3.3000000000000002E-2</v>
      </c>
      <c r="S20" s="480">
        <v>3.3000000000000002E-2</v>
      </c>
      <c r="T20" s="480"/>
      <c r="U20" s="480"/>
      <c r="V20" s="480">
        <v>4.8099999999999997E-2</v>
      </c>
      <c r="W20" s="480">
        <v>4.8099999999999997E-2</v>
      </c>
      <c r="X20" s="423">
        <v>0</v>
      </c>
      <c r="Y20" s="423">
        <v>0</v>
      </c>
      <c r="Z20" s="483" t="s">
        <v>3006</v>
      </c>
      <c r="AA20" s="482" t="s">
        <v>3429</v>
      </c>
      <c r="AB20" s="431"/>
      <c r="AC20" s="431"/>
      <c r="AD20" s="431"/>
    </row>
    <row r="21" spans="1:30" s="190" customFormat="1" ht="15" customHeight="1">
      <c r="A21" s="130" t="s">
        <v>3430</v>
      </c>
      <c r="B21" s="746"/>
      <c r="C21" s="460" t="s">
        <v>3431</v>
      </c>
      <c r="D21" s="484"/>
      <c r="E21" s="485" t="s">
        <v>2989</v>
      </c>
      <c r="F21" s="485"/>
      <c r="G21" s="485"/>
      <c r="H21" s="485" t="s">
        <v>2989</v>
      </c>
      <c r="I21" s="485" t="s">
        <v>2989</v>
      </c>
      <c r="J21" s="485" t="s">
        <v>2989</v>
      </c>
      <c r="K21" s="485" t="s">
        <v>2989</v>
      </c>
      <c r="L21" s="485" t="s">
        <v>2989</v>
      </c>
      <c r="M21" s="485" t="s">
        <v>2989</v>
      </c>
      <c r="N21" s="485" t="s">
        <v>2989</v>
      </c>
      <c r="O21" s="485" t="s">
        <v>2989</v>
      </c>
      <c r="P21" s="485" t="s">
        <v>2989</v>
      </c>
      <c r="Q21" s="485" t="s">
        <v>2989</v>
      </c>
      <c r="R21" s="485" t="s">
        <v>2989</v>
      </c>
      <c r="S21" s="485" t="s">
        <v>2989</v>
      </c>
      <c r="T21" s="485" t="s">
        <v>2989</v>
      </c>
      <c r="U21" s="485" t="s">
        <v>2989</v>
      </c>
      <c r="V21" s="485" t="s">
        <v>2989</v>
      </c>
      <c r="W21" s="485" t="s">
        <v>2989</v>
      </c>
      <c r="X21" s="485" t="s">
        <v>2989</v>
      </c>
      <c r="Y21" s="485" t="s">
        <v>2989</v>
      </c>
      <c r="Z21" s="484"/>
      <c r="AA21" s="466" t="s">
        <v>3432</v>
      </c>
      <c r="AB21" s="248"/>
      <c r="AC21" s="248"/>
      <c r="AD21" s="248"/>
    </row>
    <row r="22" spans="1:30" s="190" customFormat="1" ht="15" customHeight="1">
      <c r="A22" s="124" t="s">
        <v>519</v>
      </c>
      <c r="B22" s="217" t="s">
        <v>3433</v>
      </c>
      <c r="C22" s="468" t="s">
        <v>3434</v>
      </c>
      <c r="D22" s="469" t="s">
        <v>3435</v>
      </c>
      <c r="E22" s="310" t="s">
        <v>269</v>
      </c>
      <c r="F22" s="220">
        <v>691</v>
      </c>
      <c r="G22" s="470">
        <v>612</v>
      </c>
      <c r="H22" s="470">
        <v>78.3</v>
      </c>
      <c r="I22" s="486">
        <v>0</v>
      </c>
      <c r="J22" s="487">
        <v>1.65</v>
      </c>
      <c r="K22" s="486">
        <v>1.48</v>
      </c>
      <c r="L22" s="486">
        <v>0.17699999999999999</v>
      </c>
      <c r="M22" s="486">
        <v>0</v>
      </c>
      <c r="N22" s="487">
        <v>1.8599999999999998E-2</v>
      </c>
      <c r="O22" s="486">
        <v>8.1300000000000001E-3</v>
      </c>
      <c r="P22" s="486">
        <v>1.0500000000000001E-2</v>
      </c>
      <c r="Q22" s="486">
        <v>0</v>
      </c>
      <c r="R22" s="487">
        <v>1.64</v>
      </c>
      <c r="S22" s="486">
        <v>1.47</v>
      </c>
      <c r="T22" s="486">
        <v>0.16700000000000001</v>
      </c>
      <c r="U22" s="486">
        <v>0</v>
      </c>
      <c r="V22" s="487">
        <v>0.433</v>
      </c>
      <c r="W22" s="486">
        <v>0.38700000000000001</v>
      </c>
      <c r="X22" s="486">
        <v>4.5600000000000002E-2</v>
      </c>
      <c r="Y22" s="486">
        <v>0</v>
      </c>
      <c r="Z22" s="469" t="s">
        <v>286</v>
      </c>
      <c r="AA22" s="474" t="s">
        <v>3436</v>
      </c>
      <c r="AB22" s="248"/>
      <c r="AC22" s="488"/>
      <c r="AD22" s="488"/>
    </row>
    <row r="23" spans="1:30" s="190" customFormat="1" ht="15" customHeight="1">
      <c r="A23" s="124" t="s">
        <v>3437</v>
      </c>
      <c r="B23" s="217" t="s">
        <v>3438</v>
      </c>
      <c r="C23" s="468" t="s">
        <v>3439</v>
      </c>
      <c r="D23" s="469" t="s">
        <v>3435</v>
      </c>
      <c r="E23" s="310" t="s">
        <v>269</v>
      </c>
      <c r="F23" s="220">
        <v>690</v>
      </c>
      <c r="G23" s="470">
        <v>612</v>
      </c>
      <c r="H23" s="470">
        <v>78.3</v>
      </c>
      <c r="I23" s="486">
        <v>0</v>
      </c>
      <c r="J23" s="487">
        <v>1.65</v>
      </c>
      <c r="K23" s="486">
        <v>1.48</v>
      </c>
      <c r="L23" s="486">
        <v>0.17699999999999999</v>
      </c>
      <c r="M23" s="486">
        <v>0</v>
      </c>
      <c r="N23" s="487">
        <v>1.8599999999999998E-2</v>
      </c>
      <c r="O23" s="486">
        <v>8.1300000000000001E-3</v>
      </c>
      <c r="P23" s="486">
        <v>1.0500000000000001E-2</v>
      </c>
      <c r="Q23" s="486">
        <v>0</v>
      </c>
      <c r="R23" s="487">
        <v>1.64</v>
      </c>
      <c r="S23" s="486">
        <v>1.47</v>
      </c>
      <c r="T23" s="486">
        <v>0.16700000000000001</v>
      </c>
      <c r="U23" s="486">
        <v>0</v>
      </c>
      <c r="V23" s="487">
        <v>0.433</v>
      </c>
      <c r="W23" s="486">
        <v>0.38700000000000001</v>
      </c>
      <c r="X23" s="486">
        <v>4.5600000000000002E-2</v>
      </c>
      <c r="Y23" s="486">
        <v>0</v>
      </c>
      <c r="Z23" s="469" t="s">
        <v>286</v>
      </c>
      <c r="AA23" s="474" t="s">
        <v>3440</v>
      </c>
      <c r="AB23" s="248"/>
      <c r="AC23" s="488"/>
      <c r="AD23" s="488"/>
    </row>
    <row r="24" spans="1:30" s="190" customFormat="1" ht="15" customHeight="1">
      <c r="A24" s="124" t="s">
        <v>3441</v>
      </c>
      <c r="B24" s="217" t="s">
        <v>3442</v>
      </c>
      <c r="C24" s="468" t="s">
        <v>3443</v>
      </c>
      <c r="D24" s="469" t="s">
        <v>3435</v>
      </c>
      <c r="E24" s="310" t="s">
        <v>269</v>
      </c>
      <c r="F24" s="220">
        <v>692</v>
      </c>
      <c r="G24" s="470">
        <v>614</v>
      </c>
      <c r="H24" s="470">
        <v>78.3</v>
      </c>
      <c r="I24" s="486">
        <v>0</v>
      </c>
      <c r="J24" s="487">
        <v>1.61</v>
      </c>
      <c r="K24" s="486">
        <v>1.43</v>
      </c>
      <c r="L24" s="486">
        <v>0.17699999999999999</v>
      </c>
      <c r="M24" s="486">
        <v>0</v>
      </c>
      <c r="N24" s="487">
        <v>1.84E-2</v>
      </c>
      <c r="O24" s="486">
        <v>7.9000000000000008E-3</v>
      </c>
      <c r="P24" s="486">
        <v>1.0500000000000001E-2</v>
      </c>
      <c r="Q24" s="486">
        <v>0</v>
      </c>
      <c r="R24" s="487">
        <v>1.59</v>
      </c>
      <c r="S24" s="486">
        <v>1.43</v>
      </c>
      <c r="T24" s="486">
        <v>0.16700000000000001</v>
      </c>
      <c r="U24" s="486">
        <v>0</v>
      </c>
      <c r="V24" s="487">
        <v>0.42199999999999999</v>
      </c>
      <c r="W24" s="486">
        <v>0.376</v>
      </c>
      <c r="X24" s="486">
        <v>4.5600000000000002E-2</v>
      </c>
      <c r="Y24" s="486">
        <v>0</v>
      </c>
      <c r="Z24" s="469" t="s">
        <v>286</v>
      </c>
      <c r="AA24" s="474" t="s">
        <v>3444</v>
      </c>
      <c r="AB24" s="248"/>
      <c r="AC24" s="488"/>
      <c r="AD24" s="488"/>
    </row>
    <row r="25" spans="1:30" s="190" customFormat="1" ht="15" customHeight="1">
      <c r="A25" s="121" t="s">
        <v>3445</v>
      </c>
      <c r="B25" s="217" t="s">
        <v>3446</v>
      </c>
      <c r="C25" s="468" t="s">
        <v>3447</v>
      </c>
      <c r="D25" s="469" t="s">
        <v>3448</v>
      </c>
      <c r="E25" s="310" t="s">
        <v>498</v>
      </c>
      <c r="F25" s="220">
        <v>69.7</v>
      </c>
      <c r="G25" s="470">
        <v>56.1</v>
      </c>
      <c r="H25" s="470">
        <v>0.94</v>
      </c>
      <c r="I25" s="470">
        <v>12.7</v>
      </c>
      <c r="J25" s="487">
        <v>0.16500000000000001</v>
      </c>
      <c r="K25" s="486">
        <v>0.125</v>
      </c>
      <c r="L25" s="486">
        <v>1.91E-3</v>
      </c>
      <c r="M25" s="486">
        <v>3.8100000000000002E-2</v>
      </c>
      <c r="N25" s="487">
        <v>8.7100000000000007E-3</v>
      </c>
      <c r="O25" s="486">
        <v>5.1599999999999997E-3</v>
      </c>
      <c r="P25" s="486">
        <v>1.05E-4</v>
      </c>
      <c r="Q25" s="486">
        <v>3.4499999999999999E-3</v>
      </c>
      <c r="R25" s="487">
        <v>0.156</v>
      </c>
      <c r="S25" s="486">
        <v>0.12</v>
      </c>
      <c r="T25" s="486">
        <v>1.81E-3</v>
      </c>
      <c r="U25" s="486">
        <v>3.4700000000000002E-2</v>
      </c>
      <c r="V25" s="487">
        <v>3.9899999999999998E-2</v>
      </c>
      <c r="W25" s="486">
        <v>3.2300000000000002E-2</v>
      </c>
      <c r="X25" s="486">
        <v>4.6000000000000001E-4</v>
      </c>
      <c r="Y25" s="486">
        <v>7.0800000000000004E-3</v>
      </c>
      <c r="Z25" s="469" t="s">
        <v>3449</v>
      </c>
      <c r="AA25" s="474" t="s">
        <v>3450</v>
      </c>
      <c r="AB25" s="248"/>
      <c r="AC25" s="488"/>
      <c r="AD25" s="488"/>
    </row>
    <row r="26" spans="1:30" s="190" customFormat="1" ht="15" customHeight="1">
      <c r="A26" s="475" t="s">
        <v>3451</v>
      </c>
      <c r="B26" s="217" t="s">
        <v>3452</v>
      </c>
      <c r="C26" s="468" t="s">
        <v>3453</v>
      </c>
      <c r="D26" s="469" t="s">
        <v>3448</v>
      </c>
      <c r="E26" s="310" t="s">
        <v>498</v>
      </c>
      <c r="F26" s="224">
        <v>1950</v>
      </c>
      <c r="G26" s="477">
        <v>1930</v>
      </c>
      <c r="H26" s="477">
        <v>1.61</v>
      </c>
      <c r="I26" s="477">
        <v>18.3</v>
      </c>
      <c r="J26" s="489">
        <v>2.89</v>
      </c>
      <c r="K26" s="490">
        <v>2.83</v>
      </c>
      <c r="L26" s="490">
        <v>4.5300000000000002E-3</v>
      </c>
      <c r="M26" s="490">
        <v>5.8400000000000001E-2</v>
      </c>
      <c r="N26" s="489">
        <v>1.6799999999999999E-2</v>
      </c>
      <c r="O26" s="490">
        <v>1.2500000000000001E-2</v>
      </c>
      <c r="P26" s="490">
        <v>3.8900000000000002E-4</v>
      </c>
      <c r="Q26" s="490">
        <v>3.8600000000000001E-3</v>
      </c>
      <c r="R26" s="489">
        <v>2.88</v>
      </c>
      <c r="S26" s="490">
        <v>2.82</v>
      </c>
      <c r="T26" s="490">
        <v>4.1399999999999996E-3</v>
      </c>
      <c r="U26" s="490">
        <v>5.45E-2</v>
      </c>
      <c r="V26" s="489">
        <v>1.67</v>
      </c>
      <c r="W26" s="490">
        <v>1.66</v>
      </c>
      <c r="X26" s="490">
        <v>9.4200000000000002E-4</v>
      </c>
      <c r="Y26" s="490">
        <v>1.09E-2</v>
      </c>
      <c r="Z26" s="469" t="s">
        <v>3449</v>
      </c>
      <c r="AA26" s="482" t="s">
        <v>3454</v>
      </c>
      <c r="AB26" s="248"/>
      <c r="AC26" s="488"/>
      <c r="AD26" s="488"/>
    </row>
    <row r="27" spans="1:30" s="190" customFormat="1" ht="15" customHeight="1">
      <c r="A27" s="475" t="s">
        <v>3455</v>
      </c>
      <c r="B27" s="217" t="s">
        <v>3456</v>
      </c>
      <c r="C27" s="491" t="s">
        <v>3457</v>
      </c>
      <c r="D27" s="469" t="s">
        <v>3448</v>
      </c>
      <c r="E27" s="310" t="s">
        <v>498</v>
      </c>
      <c r="F27" s="224">
        <v>2600</v>
      </c>
      <c r="G27" s="477">
        <v>2470</v>
      </c>
      <c r="H27" s="477">
        <v>4.37</v>
      </c>
      <c r="I27" s="477">
        <v>129</v>
      </c>
      <c r="J27" s="489">
        <v>4.99</v>
      </c>
      <c r="K27" s="490">
        <v>4.57</v>
      </c>
      <c r="L27" s="490">
        <v>1.23E-2</v>
      </c>
      <c r="M27" s="490">
        <v>0.41</v>
      </c>
      <c r="N27" s="489">
        <v>4.8300000000000003E-2</v>
      </c>
      <c r="O27" s="490">
        <v>2.0199999999999999E-2</v>
      </c>
      <c r="P27" s="490">
        <v>9.990000000000001E-4</v>
      </c>
      <c r="Q27" s="490">
        <v>2.7099999999999999E-2</v>
      </c>
      <c r="R27" s="489">
        <v>4.9400000000000004</v>
      </c>
      <c r="S27" s="490">
        <v>4.55</v>
      </c>
      <c r="T27" s="490">
        <v>1.1299999999999999E-2</v>
      </c>
      <c r="U27" s="490">
        <v>0.38300000000000001</v>
      </c>
      <c r="V27" s="489">
        <v>2.12</v>
      </c>
      <c r="W27" s="490">
        <v>2.04</v>
      </c>
      <c r="X27" s="490">
        <v>2.5699999999999998E-3</v>
      </c>
      <c r="Y27" s="490">
        <v>7.6799999999999993E-2</v>
      </c>
      <c r="Z27" s="469" t="s">
        <v>3449</v>
      </c>
      <c r="AA27" s="482" t="s">
        <v>3458</v>
      </c>
      <c r="AB27" s="248"/>
      <c r="AC27" s="488"/>
      <c r="AD27" s="488"/>
    </row>
    <row r="28" spans="1:30" s="235" customFormat="1" ht="15" customHeight="1">
      <c r="A28" s="492">
        <v>62.018000000000001</v>
      </c>
      <c r="B28" s="217" t="s">
        <v>3459</v>
      </c>
      <c r="C28" s="491" t="s">
        <v>3460</v>
      </c>
      <c r="D28" s="483" t="s">
        <v>3448</v>
      </c>
      <c r="E28" s="493" t="s">
        <v>498</v>
      </c>
      <c r="F28" s="224">
        <v>1880</v>
      </c>
      <c r="G28" s="477">
        <v>1840</v>
      </c>
      <c r="H28" s="477">
        <v>1.1200000000000001</v>
      </c>
      <c r="I28" s="477">
        <v>34.5</v>
      </c>
      <c r="J28" s="489">
        <v>2.91</v>
      </c>
      <c r="K28" s="490">
        <v>2.8</v>
      </c>
      <c r="L28" s="490">
        <v>3.1800000000000001E-3</v>
      </c>
      <c r="M28" s="490">
        <v>0.11</v>
      </c>
      <c r="N28" s="489">
        <v>1.9900000000000001E-2</v>
      </c>
      <c r="O28" s="490">
        <v>1.24E-2</v>
      </c>
      <c r="P28" s="490">
        <v>2.5700000000000001E-4</v>
      </c>
      <c r="Q28" s="490">
        <v>7.26E-3</v>
      </c>
      <c r="R28" s="489">
        <v>2.89</v>
      </c>
      <c r="S28" s="490">
        <v>2.78</v>
      </c>
      <c r="T28" s="490">
        <v>2.9199999999999999E-3</v>
      </c>
      <c r="U28" s="490">
        <v>0.10299999999999999</v>
      </c>
      <c r="V28" s="489">
        <v>1.59</v>
      </c>
      <c r="W28" s="490">
        <v>1.57</v>
      </c>
      <c r="X28" s="490">
        <v>6.6100000000000002E-4</v>
      </c>
      <c r="Y28" s="490">
        <v>2.06E-2</v>
      </c>
      <c r="Z28" s="483" t="s">
        <v>3449</v>
      </c>
      <c r="AA28" s="482" t="s">
        <v>3461</v>
      </c>
      <c r="AB28" s="431"/>
      <c r="AC28" s="494"/>
      <c r="AD28" s="494"/>
    </row>
    <row r="29" spans="1:30" s="190" customFormat="1" ht="15" customHeight="1">
      <c r="A29" s="475" t="s">
        <v>3462</v>
      </c>
      <c r="B29" s="217" t="s">
        <v>3463</v>
      </c>
      <c r="C29" s="491" t="s">
        <v>3464</v>
      </c>
      <c r="D29" s="469" t="s">
        <v>3448</v>
      </c>
      <c r="E29" s="310" t="s">
        <v>498</v>
      </c>
      <c r="F29" s="224">
        <v>1930</v>
      </c>
      <c r="G29" s="477">
        <v>1910</v>
      </c>
      <c r="H29" s="477">
        <v>1.01</v>
      </c>
      <c r="I29" s="477">
        <v>12.3</v>
      </c>
      <c r="J29" s="489">
        <v>2.8</v>
      </c>
      <c r="K29" s="490">
        <v>2.76</v>
      </c>
      <c r="L29" s="490">
        <v>2.8500000000000001E-3</v>
      </c>
      <c r="M29" s="490">
        <v>3.9199999999999999E-2</v>
      </c>
      <c r="N29" s="489">
        <v>1.4999999999999999E-2</v>
      </c>
      <c r="O29" s="490">
        <v>1.2200000000000001E-2</v>
      </c>
      <c r="P29" s="490">
        <v>2.4399999999999999E-4</v>
      </c>
      <c r="Q29" s="490">
        <v>2.5899999999999999E-3</v>
      </c>
      <c r="R29" s="489">
        <v>2.79</v>
      </c>
      <c r="S29" s="490">
        <v>2.75</v>
      </c>
      <c r="T29" s="490">
        <v>2.5999999999999999E-3</v>
      </c>
      <c r="U29" s="490">
        <v>3.6600000000000001E-2</v>
      </c>
      <c r="V29" s="489">
        <v>1.66</v>
      </c>
      <c r="W29" s="490">
        <v>1.65</v>
      </c>
      <c r="X29" s="490">
        <v>5.9100000000000005E-4</v>
      </c>
      <c r="Y29" s="490">
        <v>7.3400000000000002E-3</v>
      </c>
      <c r="Z29" s="469" t="s">
        <v>3449</v>
      </c>
      <c r="AA29" s="482" t="s">
        <v>3465</v>
      </c>
      <c r="AB29" s="248"/>
      <c r="AC29" s="488"/>
      <c r="AD29" s="488"/>
    </row>
    <row r="30" spans="1:30" s="190" customFormat="1" ht="15" customHeight="1">
      <c r="A30" s="475" t="s">
        <v>3466</v>
      </c>
      <c r="B30" s="217" t="s">
        <v>3467</v>
      </c>
      <c r="C30" s="468" t="s">
        <v>3468</v>
      </c>
      <c r="D30" s="469" t="s">
        <v>3448</v>
      </c>
      <c r="E30" s="310" t="s">
        <v>498</v>
      </c>
      <c r="F30" s="220">
        <v>31.7</v>
      </c>
      <c r="G30" s="470">
        <v>11.3</v>
      </c>
      <c r="H30" s="470">
        <v>9.07</v>
      </c>
      <c r="I30" s="470">
        <v>11.4</v>
      </c>
      <c r="J30" s="487">
        <v>9.9500000000000005E-2</v>
      </c>
      <c r="K30" s="486">
        <v>5.6300000000000003E-2</v>
      </c>
      <c r="L30" s="486">
        <v>1.95E-2</v>
      </c>
      <c r="M30" s="486">
        <v>2.3699999999999999E-2</v>
      </c>
      <c r="N30" s="487">
        <v>4.6399999999999997E-2</v>
      </c>
      <c r="O30" s="486">
        <v>4.1599999999999998E-2</v>
      </c>
      <c r="P30" s="486">
        <v>1.3600000000000001E-3</v>
      </c>
      <c r="Q30" s="486">
        <v>3.46E-3</v>
      </c>
      <c r="R30" s="487">
        <v>5.2999999999999999E-2</v>
      </c>
      <c r="S30" s="486">
        <v>1.47E-2</v>
      </c>
      <c r="T30" s="486">
        <v>1.8100000000000002E-2</v>
      </c>
      <c r="U30" s="486">
        <v>2.0199999999999999E-2</v>
      </c>
      <c r="V30" s="487">
        <v>1.1900000000000001E-2</v>
      </c>
      <c r="W30" s="486">
        <v>2.2699999999999999E-3</v>
      </c>
      <c r="X30" s="486">
        <v>5.3499999999999997E-3</v>
      </c>
      <c r="Y30" s="486">
        <v>4.2599999999999999E-3</v>
      </c>
      <c r="Z30" s="469" t="s">
        <v>3449</v>
      </c>
      <c r="AA30" s="474" t="s">
        <v>3469</v>
      </c>
      <c r="AB30" s="248"/>
      <c r="AC30" s="488"/>
      <c r="AD30" s="488"/>
    </row>
    <row r="31" spans="1:30" s="190" customFormat="1" ht="15" customHeight="1">
      <c r="A31" s="475" t="s">
        <v>3470</v>
      </c>
      <c r="B31" s="217" t="s">
        <v>3471</v>
      </c>
      <c r="C31" s="468" t="s">
        <v>3472</v>
      </c>
      <c r="D31" s="469" t="s">
        <v>3473</v>
      </c>
      <c r="E31" s="310" t="s">
        <v>3474</v>
      </c>
      <c r="F31" s="220">
        <v>1010000</v>
      </c>
      <c r="G31" s="470">
        <v>998000</v>
      </c>
      <c r="H31" s="470">
        <v>7430</v>
      </c>
      <c r="I31" s="486">
        <v>0</v>
      </c>
      <c r="J31" s="487">
        <v>2860</v>
      </c>
      <c r="K31" s="486">
        <v>2840</v>
      </c>
      <c r="L31" s="486">
        <v>21</v>
      </c>
      <c r="M31" s="486">
        <v>0</v>
      </c>
      <c r="N31" s="487">
        <v>14.2</v>
      </c>
      <c r="O31" s="486">
        <v>12.5</v>
      </c>
      <c r="P31" s="486">
        <v>1.7</v>
      </c>
      <c r="Q31" s="486">
        <v>0</v>
      </c>
      <c r="R31" s="487">
        <v>2840</v>
      </c>
      <c r="S31" s="486">
        <v>2820</v>
      </c>
      <c r="T31" s="486">
        <v>19.3</v>
      </c>
      <c r="U31" s="486">
        <v>0</v>
      </c>
      <c r="V31" s="487">
        <v>758</v>
      </c>
      <c r="W31" s="486">
        <v>753</v>
      </c>
      <c r="X31" s="486">
        <v>4.37</v>
      </c>
      <c r="Y31" s="486">
        <v>0</v>
      </c>
      <c r="Z31" s="469" t="s">
        <v>3475</v>
      </c>
      <c r="AA31" s="474" t="s">
        <v>3476</v>
      </c>
      <c r="AB31" s="248"/>
      <c r="AC31" s="488"/>
      <c r="AD31" s="495"/>
    </row>
    <row r="32" spans="1:30" s="190" customFormat="1" ht="15" customHeight="1">
      <c r="A32" s="121" t="s">
        <v>3477</v>
      </c>
      <c r="B32" s="217" t="s">
        <v>3478</v>
      </c>
      <c r="C32" s="468" t="s">
        <v>3479</v>
      </c>
      <c r="D32" s="469" t="s">
        <v>3448</v>
      </c>
      <c r="E32" s="310" t="s">
        <v>498</v>
      </c>
      <c r="F32" s="220">
        <v>17.3</v>
      </c>
      <c r="G32" s="470">
        <v>15.2</v>
      </c>
      <c r="H32" s="470">
        <v>0.28000000000000003</v>
      </c>
      <c r="I32" s="470">
        <v>1.8</v>
      </c>
      <c r="J32" s="487">
        <v>2.9499999999999998E-2</v>
      </c>
      <c r="K32" s="486">
        <v>2.29E-2</v>
      </c>
      <c r="L32" s="486">
        <v>4.6500000000000003E-4</v>
      </c>
      <c r="M32" s="486">
        <v>6.0600000000000003E-3</v>
      </c>
      <c r="N32" s="487">
        <v>7.0200000000000004E-4</v>
      </c>
      <c r="O32" s="486">
        <v>1.15E-4</v>
      </c>
      <c r="P32" s="486">
        <v>3.3800000000000002E-5</v>
      </c>
      <c r="Q32" s="486">
        <v>5.53E-4</v>
      </c>
      <c r="R32" s="487">
        <v>2.8799999999999999E-2</v>
      </c>
      <c r="S32" s="486">
        <v>2.2800000000000001E-2</v>
      </c>
      <c r="T32" s="486">
        <v>4.3100000000000001E-4</v>
      </c>
      <c r="U32" s="486">
        <v>5.5100000000000001E-3</v>
      </c>
      <c r="V32" s="487">
        <v>7.3499999999999998E-3</v>
      </c>
      <c r="W32" s="486">
        <v>6.1999999999999998E-3</v>
      </c>
      <c r="X32" s="486">
        <v>1.4100000000000001E-4</v>
      </c>
      <c r="Y32" s="486">
        <v>1E-3</v>
      </c>
      <c r="Z32" s="469" t="s">
        <v>3449</v>
      </c>
      <c r="AA32" s="474" t="s">
        <v>3480</v>
      </c>
      <c r="AB32" s="248"/>
      <c r="AC32" s="488"/>
      <c r="AD32" s="488"/>
    </row>
    <row r="33" spans="1:30" s="190" customFormat="1" ht="15" customHeight="1">
      <c r="A33" s="121" t="s">
        <v>3481</v>
      </c>
      <c r="B33" s="217" t="s">
        <v>3482</v>
      </c>
      <c r="C33" s="468" t="s">
        <v>3483</v>
      </c>
      <c r="D33" s="469" t="s">
        <v>3448</v>
      </c>
      <c r="E33" s="310" t="s">
        <v>498</v>
      </c>
      <c r="F33" s="220">
        <v>20.3</v>
      </c>
      <c r="G33" s="470">
        <v>19.2</v>
      </c>
      <c r="H33" s="470">
        <v>0.151</v>
      </c>
      <c r="I33" s="470">
        <v>1.02</v>
      </c>
      <c r="J33" s="487">
        <v>2.4899999999999999E-2</v>
      </c>
      <c r="K33" s="486">
        <v>2.12E-2</v>
      </c>
      <c r="L33" s="486">
        <v>2.4699999999999999E-4</v>
      </c>
      <c r="M33" s="486">
        <v>3.4399999999999999E-3</v>
      </c>
      <c r="N33" s="487">
        <v>4.3800000000000002E-4</v>
      </c>
      <c r="O33" s="486">
        <v>1.07E-4</v>
      </c>
      <c r="P33" s="486">
        <v>1.7900000000000001E-5</v>
      </c>
      <c r="Q33" s="486">
        <v>3.1399999999999999E-4</v>
      </c>
      <c r="R33" s="487">
        <v>2.4400000000000002E-2</v>
      </c>
      <c r="S33" s="486">
        <v>2.1100000000000001E-2</v>
      </c>
      <c r="T33" s="486">
        <v>2.3000000000000001E-4</v>
      </c>
      <c r="U33" s="486">
        <v>3.13E-3</v>
      </c>
      <c r="V33" s="487">
        <v>6.3800000000000003E-3</v>
      </c>
      <c r="W33" s="486">
        <v>5.7299999999999999E-3</v>
      </c>
      <c r="X33" s="486">
        <v>7.6199999999999995E-5</v>
      </c>
      <c r="Y33" s="486">
        <v>5.6999999999999998E-4</v>
      </c>
      <c r="Z33" s="469" t="s">
        <v>3449</v>
      </c>
      <c r="AA33" s="474" t="s">
        <v>3484</v>
      </c>
      <c r="AB33" s="248"/>
      <c r="AC33" s="488"/>
      <c r="AD33" s="488"/>
    </row>
    <row r="34" spans="1:30" s="190" customFormat="1" ht="15" customHeight="1">
      <c r="A34" s="121" t="s">
        <v>3485</v>
      </c>
      <c r="B34" s="217" t="s">
        <v>3486</v>
      </c>
      <c r="C34" s="468" t="s">
        <v>3487</v>
      </c>
      <c r="D34" s="469" t="s">
        <v>3448</v>
      </c>
      <c r="E34" s="310" t="s">
        <v>498</v>
      </c>
      <c r="F34" s="220">
        <v>2880</v>
      </c>
      <c r="G34" s="470">
        <v>1960</v>
      </c>
      <c r="H34" s="470">
        <v>652</v>
      </c>
      <c r="I34" s="470">
        <v>276</v>
      </c>
      <c r="J34" s="487">
        <v>7.57</v>
      </c>
      <c r="K34" s="486">
        <v>4.97</v>
      </c>
      <c r="L34" s="486">
        <v>1.54</v>
      </c>
      <c r="M34" s="486">
        <v>1.06</v>
      </c>
      <c r="N34" s="487">
        <v>0.317</v>
      </c>
      <c r="O34" s="486">
        <v>3.2800000000000003E-2</v>
      </c>
      <c r="P34" s="486">
        <v>0.13600000000000001</v>
      </c>
      <c r="Q34" s="486">
        <v>0.14799999999999999</v>
      </c>
      <c r="R34" s="487">
        <v>7.25</v>
      </c>
      <c r="S34" s="486">
        <v>4.9400000000000004</v>
      </c>
      <c r="T34" s="486">
        <v>1.41</v>
      </c>
      <c r="U34" s="486">
        <v>0.90800000000000003</v>
      </c>
      <c r="V34" s="487">
        <v>1.75</v>
      </c>
      <c r="W34" s="486">
        <v>1.33</v>
      </c>
      <c r="X34" s="486">
        <v>0.33100000000000002</v>
      </c>
      <c r="Y34" s="486">
        <v>8.9700000000000002E-2</v>
      </c>
      <c r="Z34" s="469" t="s">
        <v>3449</v>
      </c>
      <c r="AA34" s="474" t="s">
        <v>3488</v>
      </c>
      <c r="AB34" s="248"/>
      <c r="AC34" s="488"/>
      <c r="AD34" s="488"/>
    </row>
    <row r="35" spans="1:30" s="190" customFormat="1" ht="15" customHeight="1">
      <c r="A35" s="124" t="s">
        <v>497</v>
      </c>
      <c r="B35" s="217" t="s">
        <v>3489</v>
      </c>
      <c r="C35" s="468" t="s">
        <v>3490</v>
      </c>
      <c r="D35" s="469" t="s">
        <v>3448</v>
      </c>
      <c r="E35" s="310" t="s">
        <v>498</v>
      </c>
      <c r="F35" s="220">
        <v>263</v>
      </c>
      <c r="G35" s="470">
        <v>204</v>
      </c>
      <c r="H35" s="470">
        <v>24</v>
      </c>
      <c r="I35" s="470">
        <v>34.700000000000003</v>
      </c>
      <c r="J35" s="487">
        <v>0.63100000000000001</v>
      </c>
      <c r="K35" s="486">
        <v>0.44700000000000001</v>
      </c>
      <c r="L35" s="486">
        <v>6.4699999999999994E-2</v>
      </c>
      <c r="M35" s="486">
        <v>0.11899999999999999</v>
      </c>
      <c r="N35" s="487">
        <v>2.8500000000000001E-2</v>
      </c>
      <c r="O35" s="486">
        <v>1.84E-2</v>
      </c>
      <c r="P35" s="486">
        <v>3.65E-3</v>
      </c>
      <c r="Q35" s="486">
        <v>6.4999999999999997E-3</v>
      </c>
      <c r="R35" s="487">
        <v>0.60099999999999998</v>
      </c>
      <c r="S35" s="486">
        <v>0.42799999999999999</v>
      </c>
      <c r="T35" s="486">
        <v>6.0999999999999999E-2</v>
      </c>
      <c r="U35" s="486">
        <v>0.112</v>
      </c>
      <c r="V35" s="487">
        <v>0.14199999999999999</v>
      </c>
      <c r="W35" s="486">
        <v>0.115</v>
      </c>
      <c r="X35" s="486">
        <v>1.23E-2</v>
      </c>
      <c r="Y35" s="486">
        <v>1.49E-2</v>
      </c>
      <c r="Z35" s="469" t="s">
        <v>3449</v>
      </c>
      <c r="AA35" s="474" t="s">
        <v>3491</v>
      </c>
      <c r="AB35" s="248"/>
      <c r="AC35" s="488"/>
      <c r="AD35" s="488"/>
    </row>
    <row r="36" spans="1:30" s="190" customFormat="1" ht="15" customHeight="1">
      <c r="A36" s="124" t="s">
        <v>3492</v>
      </c>
      <c r="B36" s="217" t="s">
        <v>3493</v>
      </c>
      <c r="C36" s="468" t="s">
        <v>3494</v>
      </c>
      <c r="D36" s="469" t="s">
        <v>3448</v>
      </c>
      <c r="E36" s="310" t="s">
        <v>498</v>
      </c>
      <c r="F36" s="220">
        <v>1060</v>
      </c>
      <c r="G36" s="470">
        <v>837</v>
      </c>
      <c r="H36" s="470">
        <v>120</v>
      </c>
      <c r="I36" s="470">
        <v>107</v>
      </c>
      <c r="J36" s="487">
        <v>2.44</v>
      </c>
      <c r="K36" s="486">
        <v>1.72</v>
      </c>
      <c r="L36" s="486">
        <v>0.32700000000000001</v>
      </c>
      <c r="M36" s="486">
        <v>0.38800000000000001</v>
      </c>
      <c r="N36" s="487">
        <v>0.128</v>
      </c>
      <c r="O36" s="486">
        <v>7.0699999999999999E-2</v>
      </c>
      <c r="P36" s="486">
        <v>1.95E-2</v>
      </c>
      <c r="Q36" s="486">
        <v>3.8100000000000002E-2</v>
      </c>
      <c r="R36" s="487">
        <v>2.2999999999999998</v>
      </c>
      <c r="S36" s="486">
        <v>1.65</v>
      </c>
      <c r="T36" s="486">
        <v>0.307</v>
      </c>
      <c r="U36" s="486">
        <v>0.35</v>
      </c>
      <c r="V36" s="487">
        <v>0.54800000000000004</v>
      </c>
      <c r="W36" s="486">
        <v>0.44400000000000001</v>
      </c>
      <c r="X36" s="486">
        <v>6.2799999999999995E-2</v>
      </c>
      <c r="Y36" s="486">
        <v>4.07E-2</v>
      </c>
      <c r="Z36" s="469" t="s">
        <v>3449</v>
      </c>
      <c r="AA36" s="474" t="s">
        <v>3495</v>
      </c>
      <c r="AB36" s="248"/>
      <c r="AC36" s="488"/>
      <c r="AD36" s="488"/>
    </row>
    <row r="37" spans="1:30" s="190" customFormat="1" ht="15" customHeight="1">
      <c r="A37" s="121" t="s">
        <v>3496</v>
      </c>
      <c r="B37" s="217" t="s">
        <v>3497</v>
      </c>
      <c r="C37" s="468" t="s">
        <v>3498</v>
      </c>
      <c r="D37" s="469" t="s">
        <v>3448</v>
      </c>
      <c r="E37" s="310" t="s">
        <v>498</v>
      </c>
      <c r="F37" s="220">
        <v>420</v>
      </c>
      <c r="G37" s="470">
        <v>335</v>
      </c>
      <c r="H37" s="470">
        <v>35.9</v>
      </c>
      <c r="I37" s="470">
        <v>49.3</v>
      </c>
      <c r="J37" s="487">
        <v>1.01</v>
      </c>
      <c r="K37" s="486">
        <v>0.74399999999999999</v>
      </c>
      <c r="L37" s="486">
        <v>9.7799999999999998E-2</v>
      </c>
      <c r="M37" s="486">
        <v>0.17299999999999999</v>
      </c>
      <c r="N37" s="487">
        <v>4.9299999999999997E-2</v>
      </c>
      <c r="O37" s="486">
        <v>3.0599999999999999E-2</v>
      </c>
      <c r="P37" s="486">
        <v>5.8399999999999997E-3</v>
      </c>
      <c r="Q37" s="486">
        <v>1.29E-2</v>
      </c>
      <c r="R37" s="487">
        <v>0.96299999999999997</v>
      </c>
      <c r="S37" s="486">
        <v>0.71199999999999997</v>
      </c>
      <c r="T37" s="486">
        <v>9.1899999999999996E-2</v>
      </c>
      <c r="U37" s="486">
        <v>0.16</v>
      </c>
      <c r="V37" s="487">
        <v>0.23</v>
      </c>
      <c r="W37" s="486">
        <v>0.191</v>
      </c>
      <c r="X37" s="486">
        <v>1.8800000000000001E-2</v>
      </c>
      <c r="Y37" s="486">
        <v>2.01E-2</v>
      </c>
      <c r="Z37" s="469" t="s">
        <v>3449</v>
      </c>
      <c r="AA37" s="474" t="s">
        <v>3499</v>
      </c>
      <c r="AB37" s="248"/>
      <c r="AC37" s="488"/>
      <c r="AD37" s="488"/>
    </row>
    <row r="38" spans="1:30" s="190" customFormat="1" ht="15" customHeight="1">
      <c r="A38" s="121" t="s">
        <v>3500</v>
      </c>
      <c r="B38" s="217" t="s">
        <v>3501</v>
      </c>
      <c r="C38" s="468" t="s">
        <v>3502</v>
      </c>
      <c r="D38" s="469" t="s">
        <v>3448</v>
      </c>
      <c r="E38" s="310" t="s">
        <v>498</v>
      </c>
      <c r="F38" s="220">
        <v>341</v>
      </c>
      <c r="G38" s="470">
        <v>274</v>
      </c>
      <c r="H38" s="470">
        <v>29.1</v>
      </c>
      <c r="I38" s="470">
        <v>38.200000000000003</v>
      </c>
      <c r="J38" s="487">
        <v>0.79400000000000004</v>
      </c>
      <c r="K38" s="486">
        <v>0.58599999999999997</v>
      </c>
      <c r="L38" s="486">
        <v>7.6700000000000004E-2</v>
      </c>
      <c r="M38" s="486">
        <v>0.13100000000000001</v>
      </c>
      <c r="N38" s="487">
        <v>3.6700000000000003E-2</v>
      </c>
      <c r="O38" s="486">
        <v>2.41E-2</v>
      </c>
      <c r="P38" s="486">
        <v>4.4299999999999999E-3</v>
      </c>
      <c r="Q38" s="486">
        <v>8.1899999999999994E-3</v>
      </c>
      <c r="R38" s="487">
        <v>0.75600000000000001</v>
      </c>
      <c r="S38" s="486">
        <v>0.56000000000000005</v>
      </c>
      <c r="T38" s="486">
        <v>7.2300000000000003E-2</v>
      </c>
      <c r="U38" s="486">
        <v>0.123</v>
      </c>
      <c r="V38" s="487">
        <v>0.18099999999999999</v>
      </c>
      <c r="W38" s="486">
        <v>0.15</v>
      </c>
      <c r="X38" s="486">
        <v>1.5100000000000001E-2</v>
      </c>
      <c r="Y38" s="486">
        <v>1.61E-2</v>
      </c>
      <c r="Z38" s="469" t="s">
        <v>3449</v>
      </c>
      <c r="AA38" s="474" t="s">
        <v>3503</v>
      </c>
      <c r="AB38" s="248"/>
      <c r="AC38" s="488"/>
      <c r="AD38" s="488"/>
    </row>
    <row r="39" spans="1:30" s="190" customFormat="1" ht="15" customHeight="1">
      <c r="A39" s="121" t="s">
        <v>3504</v>
      </c>
      <c r="B39" s="217" t="s">
        <v>3505</v>
      </c>
      <c r="C39" s="468" t="s">
        <v>3506</v>
      </c>
      <c r="D39" s="469" t="s">
        <v>3448</v>
      </c>
      <c r="E39" s="310" t="s">
        <v>498</v>
      </c>
      <c r="F39" s="220">
        <v>212</v>
      </c>
      <c r="G39" s="470">
        <v>159</v>
      </c>
      <c r="H39" s="470">
        <v>20.3</v>
      </c>
      <c r="I39" s="470">
        <v>31.9</v>
      </c>
      <c r="J39" s="487">
        <v>0.52</v>
      </c>
      <c r="K39" s="486">
        <v>0.35599999999999998</v>
      </c>
      <c r="L39" s="486">
        <v>5.5800000000000002E-2</v>
      </c>
      <c r="M39" s="486">
        <v>0.108</v>
      </c>
      <c r="N39" s="487">
        <v>2.29E-2</v>
      </c>
      <c r="O39" s="486">
        <v>1.46E-2</v>
      </c>
      <c r="P39" s="486">
        <v>3.0699999999999998E-3</v>
      </c>
      <c r="Q39" s="486">
        <v>5.1799999999999997E-3</v>
      </c>
      <c r="R39" s="487">
        <v>0.496</v>
      </c>
      <c r="S39" s="486">
        <v>0.34</v>
      </c>
      <c r="T39" s="486">
        <v>5.2699999999999997E-2</v>
      </c>
      <c r="U39" s="486">
        <v>0.10299999999999999</v>
      </c>
      <c r="V39" s="487">
        <v>0.11700000000000001</v>
      </c>
      <c r="W39" s="486">
        <v>9.2200000000000004E-2</v>
      </c>
      <c r="X39" s="486">
        <v>1.04E-2</v>
      </c>
      <c r="Y39" s="486">
        <v>1.3899999999999999E-2</v>
      </c>
      <c r="Z39" s="469" t="s">
        <v>3449</v>
      </c>
      <c r="AA39" s="474" t="s">
        <v>3507</v>
      </c>
      <c r="AB39" s="248"/>
      <c r="AC39" s="488"/>
      <c r="AD39" s="488"/>
    </row>
    <row r="40" spans="1:30" s="190" customFormat="1" ht="15" customHeight="1">
      <c r="A40" s="130" t="s">
        <v>3508</v>
      </c>
      <c r="B40" s="746"/>
      <c r="C40" s="460" t="s">
        <v>3509</v>
      </c>
      <c r="D40" s="484"/>
      <c r="E40" s="485" t="s">
        <v>2989</v>
      </c>
      <c r="F40" s="496"/>
      <c r="G40" s="496"/>
      <c r="H40" s="496"/>
      <c r="I40" s="496"/>
      <c r="J40" s="487">
        <v>0</v>
      </c>
      <c r="K40" s="486">
        <v>0</v>
      </c>
      <c r="L40" s="486">
        <v>0</v>
      </c>
      <c r="M40" s="486">
        <v>0</v>
      </c>
      <c r="N40" s="487">
        <v>0</v>
      </c>
      <c r="O40" s="486">
        <v>0</v>
      </c>
      <c r="P40" s="486">
        <v>0</v>
      </c>
      <c r="Q40" s="486">
        <v>0</v>
      </c>
      <c r="R40" s="487">
        <v>0</v>
      </c>
      <c r="S40" s="486">
        <v>0</v>
      </c>
      <c r="T40" s="486">
        <v>0</v>
      </c>
      <c r="U40" s="486">
        <v>0</v>
      </c>
      <c r="V40" s="487">
        <v>0</v>
      </c>
      <c r="W40" s="486">
        <v>0</v>
      </c>
      <c r="X40" s="486">
        <v>0</v>
      </c>
      <c r="Y40" s="486">
        <v>0</v>
      </c>
      <c r="Z40" s="484"/>
      <c r="AA40" s="466" t="s">
        <v>3510</v>
      </c>
      <c r="AB40" s="248"/>
      <c r="AC40" s="488"/>
      <c r="AD40" s="488"/>
    </row>
    <row r="41" spans="1:30" s="190" customFormat="1" ht="15" customHeight="1">
      <c r="A41" s="121" t="s">
        <v>3511</v>
      </c>
      <c r="B41" s="217" t="s">
        <v>3512</v>
      </c>
      <c r="C41" s="468" t="s">
        <v>3513</v>
      </c>
      <c r="D41" s="469" t="s">
        <v>3448</v>
      </c>
      <c r="E41" s="310" t="s">
        <v>3514</v>
      </c>
      <c r="F41" s="220">
        <v>257</v>
      </c>
      <c r="G41" s="470">
        <v>227</v>
      </c>
      <c r="H41" s="470">
        <v>12.5</v>
      </c>
      <c r="I41" s="470">
        <v>17.2</v>
      </c>
      <c r="J41" s="487">
        <v>0.63800000000000001</v>
      </c>
      <c r="K41" s="486">
        <v>0.53900000000000003</v>
      </c>
      <c r="L41" s="486">
        <v>3.8600000000000002E-2</v>
      </c>
      <c r="M41" s="486">
        <v>6.0100000000000001E-2</v>
      </c>
      <c r="N41" s="487">
        <v>1.2200000000000001E-2</v>
      </c>
      <c r="O41" s="486">
        <v>2.3800000000000002E-3</v>
      </c>
      <c r="P41" s="486">
        <v>5.5199999999999997E-3</v>
      </c>
      <c r="Q41" s="486">
        <v>4.3E-3</v>
      </c>
      <c r="R41" s="487">
        <v>0.626</v>
      </c>
      <c r="S41" s="486">
        <v>0.53700000000000003</v>
      </c>
      <c r="T41" s="486">
        <v>3.3099999999999997E-2</v>
      </c>
      <c r="U41" s="486">
        <v>5.5800000000000002E-2</v>
      </c>
      <c r="V41" s="487">
        <v>0.156</v>
      </c>
      <c r="W41" s="486">
        <v>0.14299999999999999</v>
      </c>
      <c r="X41" s="486">
        <v>5.5500000000000002E-3</v>
      </c>
      <c r="Y41" s="486">
        <v>7.0699999999999999E-3</v>
      </c>
      <c r="Z41" s="469" t="s">
        <v>3449</v>
      </c>
      <c r="AA41" s="474" t="s">
        <v>3513</v>
      </c>
      <c r="AB41" s="248"/>
      <c r="AC41" s="488"/>
      <c r="AD41" s="488"/>
    </row>
    <row r="42" spans="1:30" s="190" customFormat="1" ht="15" customHeight="1">
      <c r="A42" s="121" t="s">
        <v>3515</v>
      </c>
      <c r="B42" s="217" t="s">
        <v>3516</v>
      </c>
      <c r="C42" s="468" t="s">
        <v>3517</v>
      </c>
      <c r="D42" s="469" t="s">
        <v>3448</v>
      </c>
      <c r="E42" s="310" t="s">
        <v>3514</v>
      </c>
      <c r="F42" s="220">
        <v>29.1</v>
      </c>
      <c r="G42" s="470">
        <v>13.6</v>
      </c>
      <c r="H42" s="470">
        <v>3.23</v>
      </c>
      <c r="I42" s="470">
        <v>12.3</v>
      </c>
      <c r="J42" s="487">
        <v>0.115</v>
      </c>
      <c r="K42" s="486">
        <v>7.9899999999999999E-2</v>
      </c>
      <c r="L42" s="486">
        <v>9.92E-3</v>
      </c>
      <c r="M42" s="486">
        <v>2.5600000000000001E-2</v>
      </c>
      <c r="N42" s="487">
        <v>7.2300000000000003E-2</v>
      </c>
      <c r="O42" s="486">
        <v>6.7400000000000002E-2</v>
      </c>
      <c r="P42" s="486">
        <v>1.15E-3</v>
      </c>
      <c r="Q42" s="486">
        <v>3.7299999999999998E-3</v>
      </c>
      <c r="R42" s="487">
        <v>4.3099999999999999E-2</v>
      </c>
      <c r="S42" s="486">
        <v>1.2500000000000001E-2</v>
      </c>
      <c r="T42" s="486">
        <v>8.77E-3</v>
      </c>
      <c r="U42" s="486">
        <v>2.18E-2</v>
      </c>
      <c r="V42" s="487">
        <v>6.8599999999999998E-3</v>
      </c>
      <c r="W42" s="486">
        <v>6.7900000000000002E-4</v>
      </c>
      <c r="X42" s="486">
        <v>1.5900000000000001E-3</v>
      </c>
      <c r="Y42" s="486">
        <v>4.5999999999999999E-3</v>
      </c>
      <c r="Z42" s="469" t="s">
        <v>3449</v>
      </c>
      <c r="AA42" s="474" t="s">
        <v>3518</v>
      </c>
      <c r="AB42" s="248"/>
      <c r="AC42" s="488"/>
      <c r="AD42" s="488"/>
    </row>
    <row r="43" spans="1:30" s="190" customFormat="1" ht="15" customHeight="1">
      <c r="A43" s="121" t="s">
        <v>3519</v>
      </c>
      <c r="B43" s="217" t="s">
        <v>3520</v>
      </c>
      <c r="C43" s="468" t="s">
        <v>3521</v>
      </c>
      <c r="D43" s="469" t="s">
        <v>3448</v>
      </c>
      <c r="E43" s="310" t="s">
        <v>3514</v>
      </c>
      <c r="F43" s="220">
        <v>63.4</v>
      </c>
      <c r="G43" s="470">
        <v>44</v>
      </c>
      <c r="H43" s="470">
        <v>1.93</v>
      </c>
      <c r="I43" s="470">
        <v>17.5</v>
      </c>
      <c r="J43" s="487">
        <v>0.158</v>
      </c>
      <c r="K43" s="486">
        <v>0.128</v>
      </c>
      <c r="L43" s="486">
        <v>5.1900000000000002E-3</v>
      </c>
      <c r="M43" s="486">
        <v>2.52E-2</v>
      </c>
      <c r="N43" s="487">
        <v>3.44E-2</v>
      </c>
      <c r="O43" s="486">
        <v>3.2300000000000002E-2</v>
      </c>
      <c r="P43" s="486">
        <v>3.5399999999999999E-4</v>
      </c>
      <c r="Q43" s="486">
        <v>1.72E-3</v>
      </c>
      <c r="R43" s="487">
        <v>0.124</v>
      </c>
      <c r="S43" s="486">
        <v>9.5500000000000002E-2</v>
      </c>
      <c r="T43" s="486">
        <v>4.8300000000000001E-3</v>
      </c>
      <c r="U43" s="486">
        <v>2.3400000000000001E-2</v>
      </c>
      <c r="V43" s="487">
        <v>3.3599999999999998E-2</v>
      </c>
      <c r="W43" s="486">
        <v>2.46E-2</v>
      </c>
      <c r="X43" s="486">
        <v>1.06E-3</v>
      </c>
      <c r="Y43" s="486">
        <v>7.9000000000000008E-3</v>
      </c>
      <c r="Z43" s="469" t="s">
        <v>3449</v>
      </c>
      <c r="AA43" s="474" t="s">
        <v>3522</v>
      </c>
      <c r="AB43" s="248"/>
      <c r="AC43" s="488"/>
      <c r="AD43" s="488"/>
    </row>
    <row r="44" spans="1:30" s="190" customFormat="1" ht="15" customHeight="1">
      <c r="A44" s="475" t="s">
        <v>3523</v>
      </c>
      <c r="B44" s="217" t="s">
        <v>3524</v>
      </c>
      <c r="C44" s="468" t="s">
        <v>3453</v>
      </c>
      <c r="D44" s="469" t="s">
        <v>3448</v>
      </c>
      <c r="E44" s="310" t="s">
        <v>3514</v>
      </c>
      <c r="F44" s="224">
        <v>332</v>
      </c>
      <c r="G44" s="477">
        <v>324</v>
      </c>
      <c r="H44" s="477">
        <v>0.65400000000000003</v>
      </c>
      <c r="I44" s="477">
        <v>6.91</v>
      </c>
      <c r="J44" s="489">
        <v>0.53700000000000003</v>
      </c>
      <c r="K44" s="490">
        <v>0.51300000000000001</v>
      </c>
      <c r="L44" s="490">
        <v>1.8400000000000001E-3</v>
      </c>
      <c r="M44" s="490">
        <v>2.1999999999999999E-2</v>
      </c>
      <c r="N44" s="489">
        <v>3.8800000000000002E-3</v>
      </c>
      <c r="O44" s="490">
        <v>2.2699999999999999E-3</v>
      </c>
      <c r="P44" s="490">
        <v>1.5799999999999999E-4</v>
      </c>
      <c r="Q44" s="490">
        <v>1.4599999999999999E-3</v>
      </c>
      <c r="R44" s="489">
        <v>0.53300000000000003</v>
      </c>
      <c r="S44" s="490">
        <v>0.51100000000000001</v>
      </c>
      <c r="T44" s="490">
        <v>1.6800000000000001E-3</v>
      </c>
      <c r="U44" s="490">
        <v>2.06E-2</v>
      </c>
      <c r="V44" s="489">
        <v>0.28199999999999997</v>
      </c>
      <c r="W44" s="490">
        <v>0.27800000000000002</v>
      </c>
      <c r="X44" s="490">
        <v>3.8200000000000002E-4</v>
      </c>
      <c r="Y44" s="490">
        <v>4.1200000000000004E-3</v>
      </c>
      <c r="Z44" s="469" t="s">
        <v>3449</v>
      </c>
      <c r="AA44" s="474" t="s">
        <v>3525</v>
      </c>
      <c r="AB44" s="248"/>
      <c r="AC44" s="488"/>
      <c r="AD44" s="488"/>
    </row>
    <row r="45" spans="1:30" s="190" customFormat="1" ht="15" customHeight="1">
      <c r="A45" s="475" t="s">
        <v>3526</v>
      </c>
      <c r="B45" s="217" t="s">
        <v>3527</v>
      </c>
      <c r="C45" s="491" t="s">
        <v>3457</v>
      </c>
      <c r="D45" s="469" t="s">
        <v>3448</v>
      </c>
      <c r="E45" s="310" t="s">
        <v>3514</v>
      </c>
      <c r="F45" s="224">
        <v>426</v>
      </c>
      <c r="G45" s="477">
        <v>404</v>
      </c>
      <c r="H45" s="477">
        <v>0.72</v>
      </c>
      <c r="I45" s="477">
        <v>21.2</v>
      </c>
      <c r="J45" s="489">
        <v>0.82299999999999995</v>
      </c>
      <c r="K45" s="490">
        <v>0.753</v>
      </c>
      <c r="L45" s="490">
        <v>2.0300000000000001E-3</v>
      </c>
      <c r="M45" s="490">
        <v>6.7599999999999993E-2</v>
      </c>
      <c r="N45" s="489">
        <v>7.9600000000000001E-3</v>
      </c>
      <c r="O45" s="490">
        <v>3.3300000000000001E-3</v>
      </c>
      <c r="P45" s="490">
        <v>1.65E-4</v>
      </c>
      <c r="Q45" s="490">
        <v>4.47E-3</v>
      </c>
      <c r="R45" s="489">
        <v>0.81499999999999995</v>
      </c>
      <c r="S45" s="490">
        <v>0.75</v>
      </c>
      <c r="T45" s="490">
        <v>1.8699999999999999E-3</v>
      </c>
      <c r="U45" s="490">
        <v>6.3200000000000006E-2</v>
      </c>
      <c r="V45" s="489">
        <v>0.35</v>
      </c>
      <c r="W45" s="490">
        <v>0.33700000000000002</v>
      </c>
      <c r="X45" s="490">
        <v>4.2400000000000001E-4</v>
      </c>
      <c r="Y45" s="490">
        <v>1.2699999999999999E-2</v>
      </c>
      <c r="Z45" s="469" t="s">
        <v>3449</v>
      </c>
      <c r="AA45" s="482" t="s">
        <v>3458</v>
      </c>
      <c r="AB45" s="248"/>
      <c r="AC45" s="488"/>
      <c r="AD45" s="488"/>
    </row>
    <row r="46" spans="1:30" s="235" customFormat="1" ht="15" customHeight="1">
      <c r="A46" s="492" t="s">
        <v>3528</v>
      </c>
      <c r="B46" s="217" t="s">
        <v>3529</v>
      </c>
      <c r="C46" s="491" t="s">
        <v>3460</v>
      </c>
      <c r="D46" s="483" t="s">
        <v>3448</v>
      </c>
      <c r="E46" s="493" t="s">
        <v>3514</v>
      </c>
      <c r="F46" s="224">
        <v>302</v>
      </c>
      <c r="G46" s="477">
        <v>296</v>
      </c>
      <c r="H46" s="477">
        <v>0.182</v>
      </c>
      <c r="I46" s="477">
        <v>5.58</v>
      </c>
      <c r="J46" s="489">
        <v>0.47099999999999997</v>
      </c>
      <c r="K46" s="490">
        <v>0.45300000000000001</v>
      </c>
      <c r="L46" s="490">
        <v>5.1400000000000003E-4</v>
      </c>
      <c r="M46" s="490">
        <v>1.78E-2</v>
      </c>
      <c r="N46" s="489">
        <v>3.2200000000000002E-3</v>
      </c>
      <c r="O46" s="490">
        <v>2E-3</v>
      </c>
      <c r="P46" s="490">
        <v>4.1699999999999997E-5</v>
      </c>
      <c r="Q46" s="490">
        <v>1.1800000000000001E-3</v>
      </c>
      <c r="R46" s="489">
        <v>0.46800000000000003</v>
      </c>
      <c r="S46" s="490">
        <v>0.45100000000000001</v>
      </c>
      <c r="T46" s="490">
        <v>4.73E-4</v>
      </c>
      <c r="U46" s="490">
        <v>1.66E-2</v>
      </c>
      <c r="V46" s="489">
        <v>0.25800000000000001</v>
      </c>
      <c r="W46" s="490">
        <v>0.255</v>
      </c>
      <c r="X46" s="490">
        <v>1.07E-4</v>
      </c>
      <c r="Y46" s="490">
        <v>3.3300000000000001E-3</v>
      </c>
      <c r="Z46" s="483" t="s">
        <v>3449</v>
      </c>
      <c r="AA46" s="482" t="s">
        <v>3461</v>
      </c>
      <c r="AB46" s="431"/>
      <c r="AC46" s="494"/>
      <c r="AD46" s="494"/>
    </row>
    <row r="47" spans="1:30" s="190" customFormat="1" ht="15" customHeight="1">
      <c r="A47" s="475" t="s">
        <v>3530</v>
      </c>
      <c r="B47" s="217" t="s">
        <v>3531</v>
      </c>
      <c r="C47" s="491" t="s">
        <v>3464</v>
      </c>
      <c r="D47" s="469" t="s">
        <v>3448</v>
      </c>
      <c r="E47" s="310" t="s">
        <v>3514</v>
      </c>
      <c r="F47" s="224">
        <v>303</v>
      </c>
      <c r="G47" s="477">
        <v>301</v>
      </c>
      <c r="H47" s="477">
        <v>0.161</v>
      </c>
      <c r="I47" s="477">
        <v>1.95</v>
      </c>
      <c r="J47" s="489">
        <v>0.44500000000000001</v>
      </c>
      <c r="K47" s="490">
        <v>0.438</v>
      </c>
      <c r="L47" s="490">
        <v>4.5100000000000001E-4</v>
      </c>
      <c r="M47" s="490">
        <v>6.2100000000000002E-3</v>
      </c>
      <c r="N47" s="489">
        <v>2.3800000000000002E-3</v>
      </c>
      <c r="O47" s="490">
        <v>1.9400000000000001E-3</v>
      </c>
      <c r="P47" s="490">
        <v>3.8699999999999999E-5</v>
      </c>
      <c r="Q47" s="490">
        <v>4.1100000000000002E-4</v>
      </c>
      <c r="R47" s="489">
        <v>0.442</v>
      </c>
      <c r="S47" s="490">
        <v>0.436</v>
      </c>
      <c r="T47" s="490">
        <v>4.1199999999999999E-4</v>
      </c>
      <c r="U47" s="490">
        <v>5.7999999999999996E-3</v>
      </c>
      <c r="V47" s="489">
        <v>0.26300000000000001</v>
      </c>
      <c r="W47" s="490">
        <v>0.26100000000000001</v>
      </c>
      <c r="X47" s="490">
        <v>9.3800000000000003E-5</v>
      </c>
      <c r="Y47" s="490">
        <v>1.16E-3</v>
      </c>
      <c r="Z47" s="469" t="s">
        <v>3449</v>
      </c>
      <c r="AA47" s="482" t="s">
        <v>3465</v>
      </c>
      <c r="AB47" s="248"/>
      <c r="AC47" s="488"/>
      <c r="AD47" s="488"/>
    </row>
    <row r="48" spans="1:30" s="190" customFormat="1" ht="15" customHeight="1">
      <c r="A48" s="497" t="s">
        <v>3532</v>
      </c>
      <c r="B48" s="217" t="s">
        <v>3533</v>
      </c>
      <c r="C48" s="468" t="s">
        <v>3534</v>
      </c>
      <c r="D48" s="469" t="s">
        <v>3473</v>
      </c>
      <c r="E48" s="310" t="s">
        <v>3474</v>
      </c>
      <c r="F48" s="220">
        <v>1270000</v>
      </c>
      <c r="G48" s="470">
        <v>1260000</v>
      </c>
      <c r="H48" s="470">
        <v>7430</v>
      </c>
      <c r="I48" s="486">
        <v>0</v>
      </c>
      <c r="J48" s="487">
        <v>3630</v>
      </c>
      <c r="K48" s="486">
        <v>3610</v>
      </c>
      <c r="L48" s="486">
        <v>21</v>
      </c>
      <c r="M48" s="486">
        <v>0</v>
      </c>
      <c r="N48" s="487">
        <v>17.600000000000001</v>
      </c>
      <c r="O48" s="486">
        <v>15.9</v>
      </c>
      <c r="P48" s="486">
        <v>1.7</v>
      </c>
      <c r="Q48" s="486">
        <v>0</v>
      </c>
      <c r="R48" s="487">
        <v>3610</v>
      </c>
      <c r="S48" s="486">
        <v>3590</v>
      </c>
      <c r="T48" s="486">
        <v>19.3</v>
      </c>
      <c r="U48" s="486">
        <v>0</v>
      </c>
      <c r="V48" s="487">
        <v>967</v>
      </c>
      <c r="W48" s="486">
        <v>962</v>
      </c>
      <c r="X48" s="486">
        <v>4.37</v>
      </c>
      <c r="Y48" s="486">
        <v>0</v>
      </c>
      <c r="Z48" s="469" t="s">
        <v>3475</v>
      </c>
      <c r="AA48" s="474" t="s">
        <v>3535</v>
      </c>
      <c r="AB48" s="248"/>
      <c r="AC48" s="488"/>
      <c r="AD48" s="488"/>
    </row>
    <row r="49" spans="1:30" s="190" customFormat="1" ht="15" customHeight="1">
      <c r="A49" s="497" t="s">
        <v>3536</v>
      </c>
      <c r="B49" s="217" t="s">
        <v>3537</v>
      </c>
      <c r="C49" s="468" t="s">
        <v>3538</v>
      </c>
      <c r="D49" s="469" t="s">
        <v>3473</v>
      </c>
      <c r="E49" s="310" t="s">
        <v>3474</v>
      </c>
      <c r="F49" s="220">
        <v>1830000</v>
      </c>
      <c r="G49" s="470">
        <v>1820000</v>
      </c>
      <c r="H49" s="470">
        <v>8650</v>
      </c>
      <c r="I49" s="486">
        <v>0</v>
      </c>
      <c r="J49" s="487">
        <v>5200</v>
      </c>
      <c r="K49" s="486">
        <v>5180</v>
      </c>
      <c r="L49" s="486">
        <v>24.4</v>
      </c>
      <c r="M49" s="486">
        <v>0</v>
      </c>
      <c r="N49" s="487">
        <v>24.9</v>
      </c>
      <c r="O49" s="486">
        <v>22.9</v>
      </c>
      <c r="P49" s="486">
        <v>1.98</v>
      </c>
      <c r="Q49" s="486">
        <v>0</v>
      </c>
      <c r="R49" s="487">
        <v>5180</v>
      </c>
      <c r="S49" s="486">
        <v>5150</v>
      </c>
      <c r="T49" s="486">
        <v>22.4</v>
      </c>
      <c r="U49" s="486">
        <v>0</v>
      </c>
      <c r="V49" s="487">
        <v>1410</v>
      </c>
      <c r="W49" s="486">
        <v>1410</v>
      </c>
      <c r="X49" s="486">
        <v>5.09</v>
      </c>
      <c r="Y49" s="486">
        <v>0</v>
      </c>
      <c r="Z49" s="469" t="s">
        <v>3475</v>
      </c>
      <c r="AA49" s="474" t="s">
        <v>3539</v>
      </c>
      <c r="AB49" s="248"/>
      <c r="AC49" s="488"/>
      <c r="AD49" s="488"/>
    </row>
    <row r="50" spans="1:30" s="190" customFormat="1" ht="15" customHeight="1">
      <c r="A50" s="121" t="s">
        <v>3540</v>
      </c>
      <c r="B50" s="217" t="s">
        <v>3541</v>
      </c>
      <c r="C50" s="468" t="s">
        <v>3542</v>
      </c>
      <c r="D50" s="469" t="s">
        <v>3448</v>
      </c>
      <c r="E50" s="310" t="s">
        <v>3514</v>
      </c>
      <c r="F50" s="220">
        <v>348</v>
      </c>
      <c r="G50" s="470">
        <v>220</v>
      </c>
      <c r="H50" s="470">
        <v>93</v>
      </c>
      <c r="I50" s="470">
        <v>34.700000000000003</v>
      </c>
      <c r="J50" s="487">
        <v>0.91200000000000003</v>
      </c>
      <c r="K50" s="486">
        <v>0.57499999999999996</v>
      </c>
      <c r="L50" s="486">
        <v>0.20200000000000001</v>
      </c>
      <c r="M50" s="486">
        <v>0.13500000000000001</v>
      </c>
      <c r="N50" s="487">
        <v>4.6800000000000001E-2</v>
      </c>
      <c r="O50" s="486">
        <v>8.1200000000000005E-3</v>
      </c>
      <c r="P50" s="486">
        <v>1.7999999999999999E-2</v>
      </c>
      <c r="Q50" s="486">
        <v>2.07E-2</v>
      </c>
      <c r="R50" s="487">
        <v>0.86499999999999999</v>
      </c>
      <c r="S50" s="486">
        <v>0.56699999999999995</v>
      </c>
      <c r="T50" s="486">
        <v>0.184</v>
      </c>
      <c r="U50" s="486">
        <v>0.114</v>
      </c>
      <c r="V50" s="487">
        <v>0.20899999999999999</v>
      </c>
      <c r="W50" s="486">
        <v>0.154</v>
      </c>
      <c r="X50" s="486">
        <v>4.5100000000000001E-2</v>
      </c>
      <c r="Y50" s="486">
        <v>1.06E-2</v>
      </c>
      <c r="Z50" s="469" t="s">
        <v>3449</v>
      </c>
      <c r="AA50" s="474" t="s">
        <v>3543</v>
      </c>
      <c r="AB50" s="248"/>
      <c r="AC50" s="488"/>
      <c r="AD50" s="488"/>
    </row>
    <row r="51" spans="1:30" s="190" customFormat="1" ht="15" customHeight="1">
      <c r="A51" s="121" t="s">
        <v>3544</v>
      </c>
      <c r="B51" s="217" t="s">
        <v>3545</v>
      </c>
      <c r="C51" s="468" t="s">
        <v>3546</v>
      </c>
      <c r="D51" s="469" t="s">
        <v>3448</v>
      </c>
      <c r="E51" s="310" t="s">
        <v>3514</v>
      </c>
      <c r="F51" s="220">
        <v>360</v>
      </c>
      <c r="G51" s="470">
        <v>237</v>
      </c>
      <c r="H51" s="470">
        <v>89.5</v>
      </c>
      <c r="I51" s="470">
        <v>34.200000000000003</v>
      </c>
      <c r="J51" s="487">
        <v>0.96499999999999997</v>
      </c>
      <c r="K51" s="486">
        <v>0.63600000000000001</v>
      </c>
      <c r="L51" s="486">
        <v>0.19600000000000001</v>
      </c>
      <c r="M51" s="486">
        <v>0.13400000000000001</v>
      </c>
      <c r="N51" s="487">
        <v>0.05</v>
      </c>
      <c r="O51" s="486">
        <v>1.2E-2</v>
      </c>
      <c r="P51" s="486">
        <v>1.7299999999999999E-2</v>
      </c>
      <c r="Q51" s="486">
        <v>2.07E-2</v>
      </c>
      <c r="R51" s="487">
        <v>0.91500000000000004</v>
      </c>
      <c r="S51" s="486">
        <v>0.624</v>
      </c>
      <c r="T51" s="486">
        <v>0.17799999999999999</v>
      </c>
      <c r="U51" s="486">
        <v>0.113</v>
      </c>
      <c r="V51" s="487">
        <v>0.222</v>
      </c>
      <c r="W51" s="486">
        <v>0.16800000000000001</v>
      </c>
      <c r="X51" s="486">
        <v>4.3700000000000003E-2</v>
      </c>
      <c r="Y51" s="486">
        <v>1.04E-2</v>
      </c>
      <c r="Z51" s="469" t="s">
        <v>3449</v>
      </c>
      <c r="AA51" s="474" t="s">
        <v>3547</v>
      </c>
      <c r="AB51" s="248"/>
      <c r="AC51" s="488"/>
      <c r="AD51" s="488"/>
    </row>
    <row r="52" spans="1:30" s="190" customFormat="1" ht="15" customHeight="1">
      <c r="A52" s="121" t="s">
        <v>3548</v>
      </c>
      <c r="B52" s="217" t="s">
        <v>3549</v>
      </c>
      <c r="C52" s="468" t="s">
        <v>3550</v>
      </c>
      <c r="D52" s="469" t="s">
        <v>3448</v>
      </c>
      <c r="E52" s="310" t="s">
        <v>3514</v>
      </c>
      <c r="F52" s="220">
        <v>190</v>
      </c>
      <c r="G52" s="470">
        <v>112</v>
      </c>
      <c r="H52" s="470">
        <v>43.6</v>
      </c>
      <c r="I52" s="470">
        <v>34.6</v>
      </c>
      <c r="J52" s="487">
        <v>0.46500000000000002</v>
      </c>
      <c r="K52" s="486">
        <v>0.21199999999999999</v>
      </c>
      <c r="L52" s="486">
        <v>0.11700000000000001</v>
      </c>
      <c r="M52" s="486">
        <v>0.13600000000000001</v>
      </c>
      <c r="N52" s="487">
        <v>5.1900000000000002E-2</v>
      </c>
      <c r="O52" s="486">
        <v>2.18E-2</v>
      </c>
      <c r="P52" s="486">
        <v>7.9000000000000008E-3</v>
      </c>
      <c r="Q52" s="486">
        <v>2.2200000000000001E-2</v>
      </c>
      <c r="R52" s="487">
        <v>0.41299999999999998</v>
      </c>
      <c r="S52" s="486">
        <v>0.19</v>
      </c>
      <c r="T52" s="486">
        <v>0.109</v>
      </c>
      <c r="U52" s="486">
        <v>0.114</v>
      </c>
      <c r="V52" s="487">
        <v>0.10100000000000001</v>
      </c>
      <c r="W52" s="486">
        <v>6.7699999999999996E-2</v>
      </c>
      <c r="X52" s="486">
        <v>2.2700000000000001E-2</v>
      </c>
      <c r="Y52" s="486">
        <v>1.01E-2</v>
      </c>
      <c r="Z52" s="469" t="s">
        <v>3449</v>
      </c>
      <c r="AA52" s="474" t="s">
        <v>3551</v>
      </c>
      <c r="AB52" s="248"/>
      <c r="AC52" s="488"/>
      <c r="AD52" s="488"/>
    </row>
    <row r="53" spans="1:30" s="190" customFormat="1" ht="15" customHeight="1">
      <c r="A53" s="121" t="s">
        <v>3552</v>
      </c>
      <c r="B53" s="217" t="s">
        <v>3553</v>
      </c>
      <c r="C53" s="468" t="s">
        <v>3554</v>
      </c>
      <c r="D53" s="469" t="s">
        <v>3448</v>
      </c>
      <c r="E53" s="310" t="s">
        <v>3514</v>
      </c>
      <c r="F53" s="220">
        <v>328</v>
      </c>
      <c r="G53" s="470">
        <v>194</v>
      </c>
      <c r="H53" s="470">
        <v>98.5</v>
      </c>
      <c r="I53" s="470">
        <v>35.4</v>
      </c>
      <c r="J53" s="487">
        <v>0.83</v>
      </c>
      <c r="K53" s="486">
        <v>0.48099999999999998</v>
      </c>
      <c r="L53" s="486">
        <v>0.21099999999999999</v>
      </c>
      <c r="M53" s="486">
        <v>0.13700000000000001</v>
      </c>
      <c r="N53" s="487">
        <v>4.2000000000000003E-2</v>
      </c>
      <c r="O53" s="486">
        <v>2.1299999999999999E-3</v>
      </c>
      <c r="P53" s="486">
        <v>1.9099999999999999E-2</v>
      </c>
      <c r="Q53" s="486">
        <v>2.0799999999999999E-2</v>
      </c>
      <c r="R53" s="487">
        <v>0.78800000000000003</v>
      </c>
      <c r="S53" s="486">
        <v>0.47899999999999998</v>
      </c>
      <c r="T53" s="486">
        <v>0.192</v>
      </c>
      <c r="U53" s="486">
        <v>0.11700000000000001</v>
      </c>
      <c r="V53" s="487">
        <v>0.19</v>
      </c>
      <c r="W53" s="486">
        <v>0.13100000000000001</v>
      </c>
      <c r="X53" s="486">
        <v>4.7199999999999999E-2</v>
      </c>
      <c r="Y53" s="486">
        <v>1.0999999999999999E-2</v>
      </c>
      <c r="Z53" s="469" t="s">
        <v>3449</v>
      </c>
      <c r="AA53" s="474" t="s">
        <v>3555</v>
      </c>
      <c r="AB53" s="248"/>
      <c r="AC53" s="488"/>
      <c r="AD53" s="488"/>
    </row>
    <row r="54" spans="1:30" s="190" customFormat="1" ht="25.5" customHeight="1">
      <c r="A54" s="121" t="s">
        <v>3556</v>
      </c>
      <c r="B54" s="217" t="s">
        <v>3557</v>
      </c>
      <c r="C54" s="476" t="s">
        <v>3558</v>
      </c>
      <c r="D54" s="469" t="s">
        <v>3448</v>
      </c>
      <c r="E54" s="310" t="s">
        <v>3514</v>
      </c>
      <c r="F54" s="220">
        <v>252</v>
      </c>
      <c r="G54" s="470">
        <v>78.3</v>
      </c>
      <c r="H54" s="470">
        <v>139</v>
      </c>
      <c r="I54" s="470">
        <v>34.200000000000003</v>
      </c>
      <c r="J54" s="487">
        <v>0.746</v>
      </c>
      <c r="K54" s="486">
        <v>0.33</v>
      </c>
      <c r="L54" s="486">
        <v>0.28299999999999997</v>
      </c>
      <c r="M54" s="486">
        <v>0.13400000000000001</v>
      </c>
      <c r="N54" s="487">
        <v>0.11</v>
      </c>
      <c r="O54" s="486">
        <v>7.0800000000000002E-2</v>
      </c>
      <c r="P54" s="486">
        <v>1.8599999999999998E-2</v>
      </c>
      <c r="Q54" s="486">
        <v>2.06E-2</v>
      </c>
      <c r="R54" s="487">
        <v>0.63600000000000001</v>
      </c>
      <c r="S54" s="486">
        <v>0.25900000000000001</v>
      </c>
      <c r="T54" s="486">
        <v>0.26500000000000001</v>
      </c>
      <c r="U54" s="486">
        <v>0.113</v>
      </c>
      <c r="V54" s="487">
        <v>9.0700000000000003E-2</v>
      </c>
      <c r="W54" s="486">
        <v>1.9599999999999999E-2</v>
      </c>
      <c r="X54" s="486">
        <v>6.0699999999999997E-2</v>
      </c>
      <c r="Y54" s="486">
        <v>1.04E-2</v>
      </c>
      <c r="Z54" s="469" t="s">
        <v>3449</v>
      </c>
      <c r="AA54" s="482" t="s">
        <v>3559</v>
      </c>
      <c r="AB54" s="248"/>
      <c r="AC54" s="488"/>
      <c r="AD54" s="488"/>
    </row>
    <row r="55" spans="1:30" s="235" customFormat="1" ht="42.6" customHeight="1">
      <c r="A55" s="458">
        <v>63.021000000000001</v>
      </c>
      <c r="B55" s="217" t="s">
        <v>3560</v>
      </c>
      <c r="C55" s="476" t="s">
        <v>3561</v>
      </c>
      <c r="D55" s="483" t="s">
        <v>3448</v>
      </c>
      <c r="E55" s="493" t="s">
        <v>3514</v>
      </c>
      <c r="F55" s="224">
        <v>198</v>
      </c>
      <c r="G55" s="477">
        <v>24.5</v>
      </c>
      <c r="H55" s="477">
        <v>139</v>
      </c>
      <c r="I55" s="477">
        <v>34.200000000000003</v>
      </c>
      <c r="J55" s="489">
        <v>0.56499999999999995</v>
      </c>
      <c r="K55" s="490">
        <v>0.14799999999999999</v>
      </c>
      <c r="L55" s="490">
        <v>0.28299999999999997</v>
      </c>
      <c r="M55" s="490">
        <v>0.13400000000000001</v>
      </c>
      <c r="N55" s="489">
        <v>0.184</v>
      </c>
      <c r="O55" s="490">
        <v>0.14399999999999999</v>
      </c>
      <c r="P55" s="490">
        <v>1.8599999999999998E-2</v>
      </c>
      <c r="Q55" s="490">
        <v>2.06E-2</v>
      </c>
      <c r="R55" s="489">
        <v>0.38200000000000001</v>
      </c>
      <c r="S55" s="490">
        <v>4.1099999999999999E-3</v>
      </c>
      <c r="T55" s="490">
        <v>0.26500000000000001</v>
      </c>
      <c r="U55" s="490">
        <v>0.113</v>
      </c>
      <c r="V55" s="489">
        <v>7.7100000000000002E-2</v>
      </c>
      <c r="W55" s="490">
        <v>5.9800000000000001E-3</v>
      </c>
      <c r="X55" s="490">
        <v>6.0699999999999997E-2</v>
      </c>
      <c r="Y55" s="490">
        <v>1.04E-2</v>
      </c>
      <c r="Z55" s="483" t="s">
        <v>3449</v>
      </c>
      <c r="AA55" s="482" t="s">
        <v>3562</v>
      </c>
      <c r="AB55" s="431"/>
      <c r="AC55" s="494"/>
      <c r="AD55" s="494"/>
    </row>
    <row r="56" spans="1:30" s="190" customFormat="1" ht="15" customHeight="1">
      <c r="A56" s="121" t="s">
        <v>3563</v>
      </c>
      <c r="B56" s="217" t="s">
        <v>3564</v>
      </c>
      <c r="C56" s="468" t="s">
        <v>3565</v>
      </c>
      <c r="D56" s="469" t="s">
        <v>3448</v>
      </c>
      <c r="E56" s="310" t="s">
        <v>3514</v>
      </c>
      <c r="F56" s="220">
        <v>262</v>
      </c>
      <c r="G56" s="470">
        <v>184</v>
      </c>
      <c r="H56" s="470">
        <v>43.6</v>
      </c>
      <c r="I56" s="470">
        <v>34.6</v>
      </c>
      <c r="J56" s="487">
        <v>0.89300000000000002</v>
      </c>
      <c r="K56" s="486">
        <v>0.64</v>
      </c>
      <c r="L56" s="486">
        <v>0.11700000000000001</v>
      </c>
      <c r="M56" s="486">
        <v>0.13600000000000001</v>
      </c>
      <c r="N56" s="487">
        <v>3.6400000000000002E-2</v>
      </c>
      <c r="O56" s="486">
        <v>6.3499999999999997E-3</v>
      </c>
      <c r="P56" s="486">
        <v>7.9000000000000008E-3</v>
      </c>
      <c r="Q56" s="486">
        <v>2.2200000000000001E-2</v>
      </c>
      <c r="R56" s="487">
        <v>0.85699999999999998</v>
      </c>
      <c r="S56" s="486">
        <v>0.63400000000000001</v>
      </c>
      <c r="T56" s="486">
        <v>0.109</v>
      </c>
      <c r="U56" s="486">
        <v>0.114</v>
      </c>
      <c r="V56" s="487">
        <v>0.16600000000000001</v>
      </c>
      <c r="W56" s="486">
        <v>0.13300000000000001</v>
      </c>
      <c r="X56" s="486">
        <v>2.2700000000000001E-2</v>
      </c>
      <c r="Y56" s="486">
        <v>1.01E-2</v>
      </c>
      <c r="Z56" s="469" t="s">
        <v>3449</v>
      </c>
      <c r="AA56" s="474" t="s">
        <v>3566</v>
      </c>
      <c r="AB56" s="248"/>
      <c r="AC56" s="488"/>
      <c r="AD56" s="488"/>
    </row>
    <row r="57" spans="1:30" s="190" customFormat="1" ht="15" customHeight="1">
      <c r="A57" s="121" t="s">
        <v>3567</v>
      </c>
      <c r="B57" s="217" t="s">
        <v>3568</v>
      </c>
      <c r="C57" s="468" t="s">
        <v>3569</v>
      </c>
      <c r="D57" s="469" t="s">
        <v>3448</v>
      </c>
      <c r="E57" s="310" t="s">
        <v>3514</v>
      </c>
      <c r="F57" s="220">
        <v>37.6</v>
      </c>
      <c r="G57" s="470">
        <v>19.5</v>
      </c>
      <c r="H57" s="470">
        <v>2.5299999999999998</v>
      </c>
      <c r="I57" s="470">
        <v>15.6</v>
      </c>
      <c r="J57" s="487">
        <v>0.20300000000000001</v>
      </c>
      <c r="K57" s="486">
        <v>0.16400000000000001</v>
      </c>
      <c r="L57" s="486">
        <v>6.1399999999999996E-3</v>
      </c>
      <c r="M57" s="486">
        <v>3.2500000000000001E-2</v>
      </c>
      <c r="N57" s="487">
        <v>0.14399999999999999</v>
      </c>
      <c r="O57" s="486">
        <v>0.13800000000000001</v>
      </c>
      <c r="P57" s="486">
        <v>1.1800000000000001E-3</v>
      </c>
      <c r="Q57" s="486">
        <v>4.7400000000000003E-3</v>
      </c>
      <c r="R57" s="487">
        <v>5.8400000000000001E-2</v>
      </c>
      <c r="S57" s="486">
        <v>2.5700000000000001E-2</v>
      </c>
      <c r="T57" s="486">
        <v>4.96E-3</v>
      </c>
      <c r="U57" s="486">
        <v>2.7699999999999999E-2</v>
      </c>
      <c r="V57" s="487">
        <v>8.3499999999999998E-3</v>
      </c>
      <c r="W57" s="486">
        <v>1.4499999999999999E-3</v>
      </c>
      <c r="X57" s="486">
        <v>1.07E-3</v>
      </c>
      <c r="Y57" s="486">
        <v>5.8399999999999997E-3</v>
      </c>
      <c r="Z57" s="469" t="s">
        <v>3449</v>
      </c>
      <c r="AA57" s="474" t="s">
        <v>3570</v>
      </c>
      <c r="AB57" s="248"/>
      <c r="AC57" s="488"/>
      <c r="AD57" s="488"/>
    </row>
    <row r="58" spans="1:30" s="190" customFormat="1" ht="15" customHeight="1">
      <c r="A58" s="121" t="s">
        <v>3571</v>
      </c>
      <c r="B58" s="217" t="s">
        <v>3572</v>
      </c>
      <c r="C58" s="468" t="s">
        <v>3573</v>
      </c>
      <c r="D58" s="469" t="s">
        <v>3448</v>
      </c>
      <c r="E58" s="310" t="s">
        <v>3514</v>
      </c>
      <c r="F58" s="220">
        <v>106</v>
      </c>
      <c r="G58" s="470">
        <v>89.4</v>
      </c>
      <c r="H58" s="470">
        <v>6.97</v>
      </c>
      <c r="I58" s="470">
        <v>9.77</v>
      </c>
      <c r="J58" s="487">
        <v>0.25600000000000001</v>
      </c>
      <c r="K58" s="486">
        <v>0.2</v>
      </c>
      <c r="L58" s="486">
        <v>2.1700000000000001E-2</v>
      </c>
      <c r="M58" s="486">
        <v>3.3700000000000001E-2</v>
      </c>
      <c r="N58" s="487">
        <v>6.1700000000000001E-3</v>
      </c>
      <c r="O58" s="486">
        <v>8.8599999999999996E-4</v>
      </c>
      <c r="P58" s="486">
        <v>3.0999999999999999E-3</v>
      </c>
      <c r="Q58" s="486">
        <v>2.1800000000000001E-3</v>
      </c>
      <c r="R58" s="487">
        <v>0.25</v>
      </c>
      <c r="S58" s="486">
        <v>0.2</v>
      </c>
      <c r="T58" s="486">
        <v>1.8599999999999998E-2</v>
      </c>
      <c r="U58" s="486">
        <v>3.1600000000000003E-2</v>
      </c>
      <c r="V58" s="487">
        <v>6.08E-2</v>
      </c>
      <c r="W58" s="486">
        <v>5.3699999999999998E-2</v>
      </c>
      <c r="X58" s="486">
        <v>3.0999999999999999E-3</v>
      </c>
      <c r="Y58" s="486">
        <v>4.0800000000000003E-3</v>
      </c>
      <c r="Z58" s="469" t="s">
        <v>3449</v>
      </c>
      <c r="AA58" s="474" t="s">
        <v>3574</v>
      </c>
      <c r="AB58" s="248"/>
      <c r="AC58" s="488"/>
      <c r="AD58" s="488"/>
    </row>
    <row r="59" spans="1:30" s="190" customFormat="1" ht="15" customHeight="1">
      <c r="A59" s="121" t="s">
        <v>3575</v>
      </c>
      <c r="B59" s="217" t="s">
        <v>3576</v>
      </c>
      <c r="C59" s="468" t="s">
        <v>3577</v>
      </c>
      <c r="D59" s="469" t="s">
        <v>3448</v>
      </c>
      <c r="E59" s="310" t="s">
        <v>3514</v>
      </c>
      <c r="F59" s="220">
        <v>255</v>
      </c>
      <c r="G59" s="470">
        <v>233</v>
      </c>
      <c r="H59" s="470">
        <v>20.100000000000001</v>
      </c>
      <c r="I59" s="470">
        <v>2.08</v>
      </c>
      <c r="J59" s="487">
        <v>0.43099999999999999</v>
      </c>
      <c r="K59" s="486">
        <v>0.36699999999999999</v>
      </c>
      <c r="L59" s="486">
        <v>5.7200000000000001E-2</v>
      </c>
      <c r="M59" s="486">
        <v>6.8399999999999997E-3</v>
      </c>
      <c r="N59" s="487">
        <v>1.0800000000000001E-2</v>
      </c>
      <c r="O59" s="486">
        <v>7.0400000000000003E-3</v>
      </c>
      <c r="P59" s="486">
        <v>3.5500000000000002E-3</v>
      </c>
      <c r="Q59" s="486">
        <v>1.7799999999999999E-4</v>
      </c>
      <c r="R59" s="487">
        <v>0.42099999999999999</v>
      </c>
      <c r="S59" s="486">
        <v>0.36</v>
      </c>
      <c r="T59" s="486">
        <v>5.3600000000000002E-2</v>
      </c>
      <c r="U59" s="486">
        <v>6.6699999999999997E-3</v>
      </c>
      <c r="V59" s="487">
        <v>0.126</v>
      </c>
      <c r="W59" s="486">
        <v>0.114</v>
      </c>
      <c r="X59" s="486">
        <v>1.14E-2</v>
      </c>
      <c r="Y59" s="486">
        <v>9.5500000000000001E-4</v>
      </c>
      <c r="Z59" s="469" t="s">
        <v>3449</v>
      </c>
      <c r="AA59" s="474" t="s">
        <v>3578</v>
      </c>
      <c r="AB59" s="248"/>
      <c r="AC59" s="488"/>
      <c r="AD59" s="488"/>
    </row>
    <row r="60" spans="1:30" s="190" customFormat="1" ht="15" customHeight="1">
      <c r="A60" s="121" t="s">
        <v>3579</v>
      </c>
      <c r="B60" s="217" t="s">
        <v>3580</v>
      </c>
      <c r="C60" s="468" t="s">
        <v>3581</v>
      </c>
      <c r="D60" s="469" t="s">
        <v>3448</v>
      </c>
      <c r="E60" s="310" t="s">
        <v>3514</v>
      </c>
      <c r="F60" s="220">
        <v>123</v>
      </c>
      <c r="G60" s="470">
        <v>70</v>
      </c>
      <c r="H60" s="470">
        <v>6.18</v>
      </c>
      <c r="I60" s="470">
        <v>47</v>
      </c>
      <c r="J60" s="487">
        <v>0.48599999999999999</v>
      </c>
      <c r="K60" s="486">
        <v>0.36199999999999999</v>
      </c>
      <c r="L60" s="486">
        <v>1.9300000000000001E-2</v>
      </c>
      <c r="M60" s="486">
        <v>0.105</v>
      </c>
      <c r="N60" s="487">
        <v>9.1600000000000001E-2</v>
      </c>
      <c r="O60" s="486">
        <v>7.7700000000000005E-2</v>
      </c>
      <c r="P60" s="486">
        <v>2.5699999999999998E-3</v>
      </c>
      <c r="Q60" s="486">
        <v>1.14E-2</v>
      </c>
      <c r="R60" s="487">
        <v>0.39400000000000002</v>
      </c>
      <c r="S60" s="486">
        <v>0.28399999999999997</v>
      </c>
      <c r="T60" s="486">
        <v>1.6799999999999999E-2</v>
      </c>
      <c r="U60" s="486">
        <v>9.3600000000000003E-2</v>
      </c>
      <c r="V60" s="487">
        <v>4.2900000000000001E-2</v>
      </c>
      <c r="W60" s="486">
        <v>1.72E-2</v>
      </c>
      <c r="X60" s="486">
        <v>2.7399999999999998E-3</v>
      </c>
      <c r="Y60" s="486">
        <v>2.3E-2</v>
      </c>
      <c r="Z60" s="469" t="s">
        <v>3449</v>
      </c>
      <c r="AA60" s="474" t="s">
        <v>3581</v>
      </c>
      <c r="AB60" s="248"/>
      <c r="AC60" s="488"/>
      <c r="AD60" s="488"/>
    </row>
    <row r="61" spans="1:30" s="190" customFormat="1" ht="15" customHeight="1">
      <c r="A61" s="121" t="s">
        <v>3582</v>
      </c>
      <c r="B61" s="217" t="s">
        <v>3583</v>
      </c>
      <c r="C61" s="468" t="s">
        <v>3584</v>
      </c>
      <c r="D61" s="469" t="s">
        <v>3448</v>
      </c>
      <c r="E61" s="310" t="s">
        <v>3514</v>
      </c>
      <c r="F61" s="220">
        <v>111</v>
      </c>
      <c r="G61" s="470">
        <v>85.9</v>
      </c>
      <c r="H61" s="470">
        <v>10.4</v>
      </c>
      <c r="I61" s="470">
        <v>14.9</v>
      </c>
      <c r="J61" s="487">
        <v>0.46300000000000002</v>
      </c>
      <c r="K61" s="486">
        <v>0.38400000000000001</v>
      </c>
      <c r="L61" s="486">
        <v>3.2500000000000001E-2</v>
      </c>
      <c r="M61" s="486">
        <v>4.65E-2</v>
      </c>
      <c r="N61" s="487">
        <v>8.9899999999999994E-2</v>
      </c>
      <c r="O61" s="486">
        <v>8.2500000000000004E-2</v>
      </c>
      <c r="P61" s="486">
        <v>4.6499999999999996E-3</v>
      </c>
      <c r="Q61" s="486">
        <v>2.7599999999999999E-3</v>
      </c>
      <c r="R61" s="487">
        <v>0.373</v>
      </c>
      <c r="S61" s="486">
        <v>0.30099999999999999</v>
      </c>
      <c r="T61" s="486">
        <v>2.7900000000000001E-2</v>
      </c>
      <c r="U61" s="486">
        <v>4.3700000000000003E-2</v>
      </c>
      <c r="V61" s="487">
        <v>2.98E-2</v>
      </c>
      <c r="W61" s="486">
        <v>1.9300000000000001E-2</v>
      </c>
      <c r="X61" s="486">
        <v>4.6499999999999996E-3</v>
      </c>
      <c r="Y61" s="486">
        <v>5.8199999999999997E-3</v>
      </c>
      <c r="Z61" s="469" t="s">
        <v>3449</v>
      </c>
      <c r="AA61" s="474" t="s">
        <v>3584</v>
      </c>
      <c r="AB61" s="248"/>
      <c r="AC61" s="488"/>
      <c r="AD61" s="488"/>
    </row>
    <row r="62" spans="1:30" s="190" customFormat="1" ht="15" customHeight="1">
      <c r="A62" s="130" t="s">
        <v>3585</v>
      </c>
      <c r="B62" s="746"/>
      <c r="C62" s="460" t="s">
        <v>3509</v>
      </c>
      <c r="D62" s="484"/>
      <c r="E62" s="485" t="s">
        <v>2989</v>
      </c>
      <c r="F62" s="496"/>
      <c r="G62" s="496"/>
      <c r="H62" s="496"/>
      <c r="I62" s="496"/>
      <c r="J62" s="487">
        <v>0</v>
      </c>
      <c r="K62" s="486">
        <v>0</v>
      </c>
      <c r="L62" s="486">
        <v>0</v>
      </c>
      <c r="M62" s="486">
        <v>0</v>
      </c>
      <c r="N62" s="487">
        <v>0</v>
      </c>
      <c r="O62" s="486">
        <v>0</v>
      </c>
      <c r="P62" s="486">
        <v>0</v>
      </c>
      <c r="Q62" s="486">
        <v>0</v>
      </c>
      <c r="R62" s="487">
        <v>0</v>
      </c>
      <c r="S62" s="486">
        <v>0</v>
      </c>
      <c r="T62" s="486">
        <v>0</v>
      </c>
      <c r="U62" s="486">
        <v>0</v>
      </c>
      <c r="V62" s="487">
        <v>0</v>
      </c>
      <c r="W62" s="486">
        <v>0</v>
      </c>
      <c r="X62" s="486">
        <v>0</v>
      </c>
      <c r="Y62" s="486">
        <v>0</v>
      </c>
      <c r="Z62" s="484"/>
      <c r="AA62" s="466" t="s">
        <v>3510</v>
      </c>
      <c r="AB62" s="248"/>
      <c r="AC62" s="488"/>
      <c r="AD62" s="488"/>
    </row>
    <row r="63" spans="1:30" s="190" customFormat="1" ht="15" customHeight="1">
      <c r="A63" s="121" t="s">
        <v>3586</v>
      </c>
      <c r="B63" s="217" t="s">
        <v>3587</v>
      </c>
      <c r="C63" s="468" t="s">
        <v>3513</v>
      </c>
      <c r="D63" s="469" t="s">
        <v>3588</v>
      </c>
      <c r="E63" s="310" t="s">
        <v>3589</v>
      </c>
      <c r="F63" s="220">
        <v>2620</v>
      </c>
      <c r="G63" s="470">
        <v>2320</v>
      </c>
      <c r="H63" s="470">
        <v>127</v>
      </c>
      <c r="I63" s="470">
        <v>176</v>
      </c>
      <c r="J63" s="487">
        <v>6.51</v>
      </c>
      <c r="K63" s="486">
        <v>5.5</v>
      </c>
      <c r="L63" s="486">
        <v>0.39400000000000002</v>
      </c>
      <c r="M63" s="486">
        <v>0.61299999999999999</v>
      </c>
      <c r="N63" s="487">
        <v>0.125</v>
      </c>
      <c r="O63" s="486">
        <v>2.4299999999999999E-2</v>
      </c>
      <c r="P63" s="486">
        <v>5.6300000000000003E-2</v>
      </c>
      <c r="Q63" s="486">
        <v>4.3900000000000002E-2</v>
      </c>
      <c r="R63" s="487">
        <v>6.38</v>
      </c>
      <c r="S63" s="486">
        <v>5.47</v>
      </c>
      <c r="T63" s="486">
        <v>0.33700000000000002</v>
      </c>
      <c r="U63" s="486">
        <v>0.56899999999999995</v>
      </c>
      <c r="V63" s="487">
        <v>1.59</v>
      </c>
      <c r="W63" s="486">
        <v>1.46</v>
      </c>
      <c r="X63" s="486">
        <v>5.6599999999999998E-2</v>
      </c>
      <c r="Y63" s="486">
        <v>7.2099999999999997E-2</v>
      </c>
      <c r="Z63" s="469" t="s">
        <v>3590</v>
      </c>
      <c r="AA63" s="474" t="s">
        <v>3513</v>
      </c>
      <c r="AB63" s="248"/>
      <c r="AC63" s="488"/>
      <c r="AD63" s="488"/>
    </row>
    <row r="64" spans="1:30" s="190" customFormat="1" ht="15" customHeight="1">
      <c r="A64" s="121" t="s">
        <v>3591</v>
      </c>
      <c r="B64" s="217" t="s">
        <v>3592</v>
      </c>
      <c r="C64" s="468" t="s">
        <v>3517</v>
      </c>
      <c r="D64" s="469" t="s">
        <v>3588</v>
      </c>
      <c r="E64" s="310" t="s">
        <v>3589</v>
      </c>
      <c r="F64" s="220">
        <v>6020</v>
      </c>
      <c r="G64" s="470">
        <v>2810</v>
      </c>
      <c r="H64" s="470">
        <v>670</v>
      </c>
      <c r="I64" s="470">
        <v>2540</v>
      </c>
      <c r="J64" s="487">
        <v>23.9</v>
      </c>
      <c r="K64" s="486">
        <v>16.600000000000001</v>
      </c>
      <c r="L64" s="486">
        <v>2.06</v>
      </c>
      <c r="M64" s="486">
        <v>5.3</v>
      </c>
      <c r="N64" s="487">
        <v>15</v>
      </c>
      <c r="O64" s="486">
        <v>14</v>
      </c>
      <c r="P64" s="486">
        <v>0.23799999999999999</v>
      </c>
      <c r="Q64" s="486">
        <v>0.77400000000000002</v>
      </c>
      <c r="R64" s="487">
        <v>8.94</v>
      </c>
      <c r="S64" s="486">
        <v>2.6</v>
      </c>
      <c r="T64" s="486">
        <v>1.82</v>
      </c>
      <c r="U64" s="486">
        <v>4.5199999999999996</v>
      </c>
      <c r="V64" s="487">
        <v>1.42</v>
      </c>
      <c r="W64" s="486">
        <v>0.14099999999999999</v>
      </c>
      <c r="X64" s="486">
        <v>0.32900000000000001</v>
      </c>
      <c r="Y64" s="486">
        <v>0.95299999999999996</v>
      </c>
      <c r="Z64" s="469" t="s">
        <v>3590</v>
      </c>
      <c r="AA64" s="474" t="s">
        <v>3518</v>
      </c>
      <c r="AB64" s="248"/>
      <c r="AC64" s="488"/>
      <c r="AD64" s="488"/>
    </row>
    <row r="65" spans="1:30" s="190" customFormat="1" ht="15" customHeight="1">
      <c r="A65" s="121" t="s">
        <v>3593</v>
      </c>
      <c r="B65" s="217" t="s">
        <v>3594</v>
      </c>
      <c r="C65" s="468" t="s">
        <v>3521</v>
      </c>
      <c r="D65" s="469" t="s">
        <v>3588</v>
      </c>
      <c r="E65" s="310" t="s">
        <v>3589</v>
      </c>
      <c r="F65" s="220">
        <v>14900</v>
      </c>
      <c r="G65" s="470">
        <v>10400</v>
      </c>
      <c r="H65" s="470">
        <v>453</v>
      </c>
      <c r="I65" s="470">
        <v>4120</v>
      </c>
      <c r="J65" s="487">
        <v>37.299999999999997</v>
      </c>
      <c r="K65" s="486">
        <v>30.1</v>
      </c>
      <c r="L65" s="486">
        <v>1.22</v>
      </c>
      <c r="M65" s="486">
        <v>5.93</v>
      </c>
      <c r="N65" s="487">
        <v>8.1</v>
      </c>
      <c r="O65" s="486">
        <v>7.62</v>
      </c>
      <c r="P65" s="486">
        <v>8.3299999999999999E-2</v>
      </c>
      <c r="Q65" s="486">
        <v>0.40500000000000003</v>
      </c>
      <c r="R65" s="487">
        <v>29.1</v>
      </c>
      <c r="S65" s="486">
        <v>22.5</v>
      </c>
      <c r="T65" s="486">
        <v>1.1399999999999999</v>
      </c>
      <c r="U65" s="486">
        <v>5.52</v>
      </c>
      <c r="V65" s="487">
        <v>7.91</v>
      </c>
      <c r="W65" s="486">
        <v>5.8</v>
      </c>
      <c r="X65" s="486">
        <v>0.25</v>
      </c>
      <c r="Y65" s="486">
        <v>1.86</v>
      </c>
      <c r="Z65" s="469" t="s">
        <v>3590</v>
      </c>
      <c r="AA65" s="474" t="s">
        <v>3522</v>
      </c>
      <c r="AB65" s="248"/>
      <c r="AC65" s="488"/>
      <c r="AD65" s="488"/>
    </row>
    <row r="66" spans="1:30" s="190" customFormat="1" ht="15" customHeight="1">
      <c r="A66" s="497" t="s">
        <v>3595</v>
      </c>
      <c r="B66" s="217" t="s">
        <v>3596</v>
      </c>
      <c r="C66" s="468" t="s">
        <v>3453</v>
      </c>
      <c r="D66" s="469" t="s">
        <v>3588</v>
      </c>
      <c r="E66" s="310" t="s">
        <v>3589</v>
      </c>
      <c r="F66" s="220">
        <v>68300</v>
      </c>
      <c r="G66" s="470">
        <v>66800</v>
      </c>
      <c r="H66" s="470">
        <v>135</v>
      </c>
      <c r="I66" s="470">
        <v>1420</v>
      </c>
      <c r="J66" s="487">
        <v>111</v>
      </c>
      <c r="K66" s="486">
        <v>106</v>
      </c>
      <c r="L66" s="486">
        <v>0.379</v>
      </c>
      <c r="M66" s="486">
        <v>4.54</v>
      </c>
      <c r="N66" s="487">
        <v>0.79900000000000004</v>
      </c>
      <c r="O66" s="486">
        <v>0.46700000000000003</v>
      </c>
      <c r="P66" s="486">
        <v>3.2500000000000001E-2</v>
      </c>
      <c r="Q66" s="486">
        <v>0.3</v>
      </c>
      <c r="R66" s="487">
        <v>110</v>
      </c>
      <c r="S66" s="486">
        <v>105</v>
      </c>
      <c r="T66" s="486">
        <v>0.34599999999999997</v>
      </c>
      <c r="U66" s="486">
        <v>4.24</v>
      </c>
      <c r="V66" s="487">
        <v>58.2</v>
      </c>
      <c r="W66" s="486">
        <v>57.3</v>
      </c>
      <c r="X66" s="486">
        <v>7.8700000000000006E-2</v>
      </c>
      <c r="Y66" s="486">
        <v>0.84899999999999998</v>
      </c>
      <c r="Z66" s="469" t="s">
        <v>3590</v>
      </c>
      <c r="AA66" s="474" t="s">
        <v>3525</v>
      </c>
      <c r="AB66" s="248"/>
      <c r="AC66" s="488"/>
      <c r="AD66" s="488"/>
    </row>
    <row r="67" spans="1:30" s="190" customFormat="1" ht="15" customHeight="1">
      <c r="A67" s="475" t="s">
        <v>3597</v>
      </c>
      <c r="B67" s="217" t="s">
        <v>3598</v>
      </c>
      <c r="C67" s="491" t="s">
        <v>3457</v>
      </c>
      <c r="D67" s="469" t="s">
        <v>3588</v>
      </c>
      <c r="E67" s="310" t="s">
        <v>3589</v>
      </c>
      <c r="F67" s="224">
        <v>53700</v>
      </c>
      <c r="G67" s="477">
        <v>50900</v>
      </c>
      <c r="H67" s="477">
        <v>90.8</v>
      </c>
      <c r="I67" s="477">
        <v>2670</v>
      </c>
      <c r="J67" s="489">
        <v>104</v>
      </c>
      <c r="K67" s="490">
        <v>94.9</v>
      </c>
      <c r="L67" s="490">
        <v>0.25600000000000001</v>
      </c>
      <c r="M67" s="490">
        <v>8.52</v>
      </c>
      <c r="N67" s="489">
        <v>1</v>
      </c>
      <c r="O67" s="490">
        <v>0.42</v>
      </c>
      <c r="P67" s="490">
        <v>2.0799999999999999E-2</v>
      </c>
      <c r="Q67" s="490">
        <v>0.56299999999999994</v>
      </c>
      <c r="R67" s="489">
        <v>103</v>
      </c>
      <c r="S67" s="490">
        <v>94.5</v>
      </c>
      <c r="T67" s="490">
        <v>0.23599999999999999</v>
      </c>
      <c r="U67" s="490">
        <v>7.96</v>
      </c>
      <c r="V67" s="489">
        <v>44.1</v>
      </c>
      <c r="W67" s="490">
        <v>42.4</v>
      </c>
      <c r="X67" s="490">
        <v>5.3400000000000003E-2</v>
      </c>
      <c r="Y67" s="490">
        <v>1.6</v>
      </c>
      <c r="Z67" s="469" t="s">
        <v>3590</v>
      </c>
      <c r="AA67" s="482" t="s">
        <v>3458</v>
      </c>
      <c r="AB67" s="248"/>
      <c r="AC67" s="488"/>
      <c r="AD67" s="488"/>
    </row>
    <row r="68" spans="1:30" s="235" customFormat="1" ht="15" customHeight="1">
      <c r="A68" s="492" t="s">
        <v>3599</v>
      </c>
      <c r="B68" s="217" t="s">
        <v>3600</v>
      </c>
      <c r="C68" s="491" t="s">
        <v>3460</v>
      </c>
      <c r="D68" s="483" t="s">
        <v>3588</v>
      </c>
      <c r="E68" s="493" t="s">
        <v>3589</v>
      </c>
      <c r="F68" s="224">
        <v>39800</v>
      </c>
      <c r="G68" s="477">
        <v>39100</v>
      </c>
      <c r="H68" s="477">
        <v>24</v>
      </c>
      <c r="I68" s="477">
        <v>737</v>
      </c>
      <c r="J68" s="489">
        <v>62.2</v>
      </c>
      <c r="K68" s="490">
        <v>59.8</v>
      </c>
      <c r="L68" s="490">
        <v>6.7900000000000002E-2</v>
      </c>
      <c r="M68" s="490">
        <v>2.35</v>
      </c>
      <c r="N68" s="489">
        <v>0.42499999999999999</v>
      </c>
      <c r="O68" s="490">
        <v>0.26400000000000001</v>
      </c>
      <c r="P68" s="490">
        <v>5.4999999999999997E-3</v>
      </c>
      <c r="Q68" s="490">
        <v>0.155</v>
      </c>
      <c r="R68" s="489">
        <v>61.8</v>
      </c>
      <c r="S68" s="490">
        <v>59.5</v>
      </c>
      <c r="T68" s="490">
        <v>6.2399999999999997E-2</v>
      </c>
      <c r="U68" s="490">
        <v>2.19</v>
      </c>
      <c r="V68" s="489">
        <v>34.1</v>
      </c>
      <c r="W68" s="490">
        <v>33.6</v>
      </c>
      <c r="X68" s="490">
        <v>1.41E-2</v>
      </c>
      <c r="Y68" s="490">
        <v>0.44</v>
      </c>
      <c r="Z68" s="483" t="s">
        <v>3590</v>
      </c>
      <c r="AA68" s="482" t="s">
        <v>3461</v>
      </c>
      <c r="AB68" s="431"/>
      <c r="AC68" s="494"/>
      <c r="AD68" s="494"/>
    </row>
    <row r="69" spans="1:30" s="190" customFormat="1" ht="15" customHeight="1">
      <c r="A69" s="475" t="s">
        <v>3601</v>
      </c>
      <c r="B69" s="217" t="s">
        <v>3602</v>
      </c>
      <c r="C69" s="491" t="s">
        <v>3464</v>
      </c>
      <c r="D69" s="469" t="s">
        <v>3588</v>
      </c>
      <c r="E69" s="310" t="s">
        <v>3589</v>
      </c>
      <c r="F69" s="224">
        <v>76000</v>
      </c>
      <c r="G69" s="477">
        <v>75500</v>
      </c>
      <c r="H69" s="477">
        <v>40.299999999999997</v>
      </c>
      <c r="I69" s="477">
        <v>489</v>
      </c>
      <c r="J69" s="489">
        <v>112</v>
      </c>
      <c r="K69" s="490">
        <v>110</v>
      </c>
      <c r="L69" s="490">
        <v>0.113</v>
      </c>
      <c r="M69" s="490">
        <v>1.56</v>
      </c>
      <c r="N69" s="489">
        <v>0.59799999999999998</v>
      </c>
      <c r="O69" s="490">
        <v>0.48599999999999999</v>
      </c>
      <c r="P69" s="490">
        <v>9.7099999999999999E-3</v>
      </c>
      <c r="Q69" s="490">
        <v>0.10299999999999999</v>
      </c>
      <c r="R69" s="489">
        <v>111</v>
      </c>
      <c r="S69" s="490">
        <v>109</v>
      </c>
      <c r="T69" s="490">
        <v>0.104</v>
      </c>
      <c r="U69" s="490">
        <v>1.46</v>
      </c>
      <c r="V69" s="489">
        <v>65.900000000000006</v>
      </c>
      <c r="W69" s="490">
        <v>65.599999999999994</v>
      </c>
      <c r="X69" s="490">
        <v>2.35E-2</v>
      </c>
      <c r="Y69" s="490">
        <v>0.29199999999999998</v>
      </c>
      <c r="Z69" s="469" t="s">
        <v>3590</v>
      </c>
      <c r="AA69" s="482" t="s">
        <v>3465</v>
      </c>
      <c r="AB69" s="248"/>
      <c r="AC69" s="488"/>
      <c r="AD69" s="488"/>
    </row>
    <row r="70" spans="1:30" s="190" customFormat="1" ht="15" customHeight="1">
      <c r="A70" s="497" t="s">
        <v>3603</v>
      </c>
      <c r="B70" s="217" t="s">
        <v>3604</v>
      </c>
      <c r="C70" s="468" t="s">
        <v>3534</v>
      </c>
      <c r="D70" s="469" t="s">
        <v>3473</v>
      </c>
      <c r="E70" s="310" t="s">
        <v>3474</v>
      </c>
      <c r="F70" s="220">
        <v>1270000</v>
      </c>
      <c r="G70" s="470">
        <v>1260000</v>
      </c>
      <c r="H70" s="470">
        <v>7430</v>
      </c>
      <c r="I70" s="486">
        <v>0</v>
      </c>
      <c r="J70" s="487">
        <v>3630</v>
      </c>
      <c r="K70" s="486">
        <v>3610</v>
      </c>
      <c r="L70" s="486">
        <v>21</v>
      </c>
      <c r="M70" s="486">
        <v>0</v>
      </c>
      <c r="N70" s="487">
        <v>17.600000000000001</v>
      </c>
      <c r="O70" s="486">
        <v>15.9</v>
      </c>
      <c r="P70" s="486">
        <v>1.7</v>
      </c>
      <c r="Q70" s="486">
        <v>0</v>
      </c>
      <c r="R70" s="487">
        <v>3610</v>
      </c>
      <c r="S70" s="486">
        <v>3590</v>
      </c>
      <c r="T70" s="486">
        <v>19.3</v>
      </c>
      <c r="U70" s="486">
        <v>0</v>
      </c>
      <c r="V70" s="487">
        <v>967</v>
      </c>
      <c r="W70" s="486">
        <v>962</v>
      </c>
      <c r="X70" s="486">
        <v>4.37</v>
      </c>
      <c r="Y70" s="486">
        <v>0</v>
      </c>
      <c r="Z70" s="469" t="s">
        <v>3475</v>
      </c>
      <c r="AA70" s="474" t="s">
        <v>3535</v>
      </c>
      <c r="AB70" s="248"/>
      <c r="AC70" s="488"/>
      <c r="AD70" s="488"/>
    </row>
    <row r="71" spans="1:30" s="190" customFormat="1" ht="15" customHeight="1">
      <c r="A71" s="497" t="s">
        <v>3605</v>
      </c>
      <c r="B71" s="217" t="s">
        <v>3606</v>
      </c>
      <c r="C71" s="468" t="s">
        <v>3538</v>
      </c>
      <c r="D71" s="469" t="s">
        <v>3473</v>
      </c>
      <c r="E71" s="310" t="s">
        <v>3474</v>
      </c>
      <c r="F71" s="220">
        <v>1830000</v>
      </c>
      <c r="G71" s="470">
        <v>1820000</v>
      </c>
      <c r="H71" s="470">
        <v>8650</v>
      </c>
      <c r="I71" s="486">
        <v>0</v>
      </c>
      <c r="J71" s="487">
        <v>5200</v>
      </c>
      <c r="K71" s="486">
        <v>5180</v>
      </c>
      <c r="L71" s="486">
        <v>24.4</v>
      </c>
      <c r="M71" s="486">
        <v>0</v>
      </c>
      <c r="N71" s="487">
        <v>24.9</v>
      </c>
      <c r="O71" s="486">
        <v>22.9</v>
      </c>
      <c r="P71" s="486">
        <v>1.98</v>
      </c>
      <c r="Q71" s="486">
        <v>0</v>
      </c>
      <c r="R71" s="487">
        <v>5180</v>
      </c>
      <c r="S71" s="486">
        <v>5150</v>
      </c>
      <c r="T71" s="486">
        <v>22.4</v>
      </c>
      <c r="U71" s="486">
        <v>0</v>
      </c>
      <c r="V71" s="487">
        <v>1410</v>
      </c>
      <c r="W71" s="486">
        <v>1410</v>
      </c>
      <c r="X71" s="486">
        <v>5.09</v>
      </c>
      <c r="Y71" s="486">
        <v>0</v>
      </c>
      <c r="Z71" s="469" t="s">
        <v>3475</v>
      </c>
      <c r="AA71" s="474" t="s">
        <v>3539</v>
      </c>
      <c r="AB71" s="248"/>
      <c r="AC71" s="488"/>
      <c r="AD71" s="488"/>
    </row>
    <row r="72" spans="1:30" s="190" customFormat="1" ht="15" customHeight="1">
      <c r="A72" s="121" t="s">
        <v>3607</v>
      </c>
      <c r="B72" s="217" t="s">
        <v>3608</v>
      </c>
      <c r="C72" s="468" t="s">
        <v>3542</v>
      </c>
      <c r="D72" s="469" t="s">
        <v>3588</v>
      </c>
      <c r="E72" s="310" t="s">
        <v>3589</v>
      </c>
      <c r="F72" s="220">
        <v>556</v>
      </c>
      <c r="G72" s="470">
        <v>352</v>
      </c>
      <c r="H72" s="470">
        <v>149</v>
      </c>
      <c r="I72" s="470">
        <v>55.5</v>
      </c>
      <c r="J72" s="487">
        <v>1.46</v>
      </c>
      <c r="K72" s="486">
        <v>0.92</v>
      </c>
      <c r="L72" s="486">
        <v>0.32300000000000001</v>
      </c>
      <c r="M72" s="486">
        <v>0.216</v>
      </c>
      <c r="N72" s="487">
        <v>7.4899999999999994E-2</v>
      </c>
      <c r="O72" s="486">
        <v>1.2999999999999999E-2</v>
      </c>
      <c r="P72" s="486">
        <v>2.8799999999999999E-2</v>
      </c>
      <c r="Q72" s="486">
        <v>3.3099999999999997E-2</v>
      </c>
      <c r="R72" s="487">
        <v>1.38</v>
      </c>
      <c r="S72" s="486">
        <v>0.90700000000000003</v>
      </c>
      <c r="T72" s="486">
        <v>0.29399999999999998</v>
      </c>
      <c r="U72" s="486">
        <v>0.183</v>
      </c>
      <c r="V72" s="487">
        <v>0.33500000000000002</v>
      </c>
      <c r="W72" s="486">
        <v>0.246</v>
      </c>
      <c r="X72" s="486">
        <v>7.2099999999999997E-2</v>
      </c>
      <c r="Y72" s="486">
        <v>1.7000000000000001E-2</v>
      </c>
      <c r="Z72" s="469" t="s">
        <v>3590</v>
      </c>
      <c r="AA72" s="474" t="s">
        <v>3543</v>
      </c>
      <c r="AB72" s="248"/>
      <c r="AC72" s="488"/>
      <c r="AD72" s="488"/>
    </row>
    <row r="73" spans="1:30" s="190" customFormat="1" ht="15" customHeight="1">
      <c r="A73" s="121" t="s">
        <v>3609</v>
      </c>
      <c r="B73" s="217" t="s">
        <v>3610</v>
      </c>
      <c r="C73" s="468" t="s">
        <v>3546</v>
      </c>
      <c r="D73" s="469" t="s">
        <v>3588</v>
      </c>
      <c r="E73" s="310" t="s">
        <v>3589</v>
      </c>
      <c r="F73" s="220">
        <v>576</v>
      </c>
      <c r="G73" s="470">
        <v>378</v>
      </c>
      <c r="H73" s="470">
        <v>143</v>
      </c>
      <c r="I73" s="470">
        <v>54.8</v>
      </c>
      <c r="J73" s="487">
        <v>1.54</v>
      </c>
      <c r="K73" s="486">
        <v>1.02</v>
      </c>
      <c r="L73" s="486">
        <v>0.313</v>
      </c>
      <c r="M73" s="486">
        <v>0.214</v>
      </c>
      <c r="N73" s="487">
        <v>0.08</v>
      </c>
      <c r="O73" s="486">
        <v>1.9199999999999998E-2</v>
      </c>
      <c r="P73" s="486">
        <v>2.7699999999999999E-2</v>
      </c>
      <c r="Q73" s="486">
        <v>3.3000000000000002E-2</v>
      </c>
      <c r="R73" s="487">
        <v>1.46</v>
      </c>
      <c r="S73" s="486">
        <v>0.998</v>
      </c>
      <c r="T73" s="486">
        <v>0.28499999999999998</v>
      </c>
      <c r="U73" s="486">
        <v>0.18099999999999999</v>
      </c>
      <c r="V73" s="487">
        <v>0.35599999999999998</v>
      </c>
      <c r="W73" s="486">
        <v>0.26900000000000002</v>
      </c>
      <c r="X73" s="486">
        <v>6.9900000000000004E-2</v>
      </c>
      <c r="Y73" s="486">
        <v>1.67E-2</v>
      </c>
      <c r="Z73" s="469" t="s">
        <v>3590</v>
      </c>
      <c r="AA73" s="474" t="s">
        <v>3547</v>
      </c>
      <c r="AB73" s="248"/>
      <c r="AC73" s="488"/>
      <c r="AD73" s="488"/>
    </row>
    <row r="74" spans="1:30" s="190" customFormat="1" ht="15" customHeight="1">
      <c r="A74" s="121" t="s">
        <v>3611</v>
      </c>
      <c r="B74" s="217" t="s">
        <v>3612</v>
      </c>
      <c r="C74" s="468" t="s">
        <v>3550</v>
      </c>
      <c r="D74" s="469" t="s">
        <v>3588</v>
      </c>
      <c r="E74" s="310" t="s">
        <v>3589</v>
      </c>
      <c r="F74" s="220">
        <v>304</v>
      </c>
      <c r="G74" s="470">
        <v>179</v>
      </c>
      <c r="H74" s="470">
        <v>69.7</v>
      </c>
      <c r="I74" s="470">
        <v>55.3</v>
      </c>
      <c r="J74" s="487">
        <v>0.74399999999999999</v>
      </c>
      <c r="K74" s="486">
        <v>0.33900000000000002</v>
      </c>
      <c r="L74" s="486">
        <v>0.187</v>
      </c>
      <c r="M74" s="486">
        <v>0.218</v>
      </c>
      <c r="N74" s="487">
        <v>8.3000000000000004E-2</v>
      </c>
      <c r="O74" s="486">
        <v>3.49E-2</v>
      </c>
      <c r="P74" s="486">
        <v>1.26E-2</v>
      </c>
      <c r="Q74" s="486">
        <v>3.5400000000000001E-2</v>
      </c>
      <c r="R74" s="487">
        <v>0.66100000000000003</v>
      </c>
      <c r="S74" s="486">
        <v>0.30399999999999999</v>
      </c>
      <c r="T74" s="486">
        <v>0.17499999999999999</v>
      </c>
      <c r="U74" s="486">
        <v>0.183</v>
      </c>
      <c r="V74" s="487">
        <v>0.161</v>
      </c>
      <c r="W74" s="486">
        <v>0.108</v>
      </c>
      <c r="X74" s="486">
        <v>3.6299999999999999E-2</v>
      </c>
      <c r="Y74" s="486">
        <v>1.6199999999999999E-2</v>
      </c>
      <c r="Z74" s="469" t="s">
        <v>3590</v>
      </c>
      <c r="AA74" s="474" t="s">
        <v>3551</v>
      </c>
      <c r="AB74" s="248"/>
      <c r="AC74" s="488"/>
      <c r="AD74" s="488"/>
    </row>
    <row r="75" spans="1:30" s="190" customFormat="1" ht="15" customHeight="1">
      <c r="A75" s="121" t="s">
        <v>3613</v>
      </c>
      <c r="B75" s="217" t="s">
        <v>3614</v>
      </c>
      <c r="C75" s="468" t="s">
        <v>3554</v>
      </c>
      <c r="D75" s="469" t="s">
        <v>3588</v>
      </c>
      <c r="E75" s="310" t="s">
        <v>3589</v>
      </c>
      <c r="F75" s="220">
        <v>525</v>
      </c>
      <c r="G75" s="470">
        <v>311</v>
      </c>
      <c r="H75" s="470">
        <v>158</v>
      </c>
      <c r="I75" s="470">
        <v>56.6</v>
      </c>
      <c r="J75" s="487">
        <v>1.33</v>
      </c>
      <c r="K75" s="486">
        <v>0.77</v>
      </c>
      <c r="L75" s="486">
        <v>0.33800000000000002</v>
      </c>
      <c r="M75" s="486">
        <v>0.22</v>
      </c>
      <c r="N75" s="487">
        <v>6.7199999999999996E-2</v>
      </c>
      <c r="O75" s="486">
        <v>3.4099999999999998E-3</v>
      </c>
      <c r="P75" s="486">
        <v>3.0499999999999999E-2</v>
      </c>
      <c r="Q75" s="486">
        <v>3.32E-2</v>
      </c>
      <c r="R75" s="487">
        <v>1.26</v>
      </c>
      <c r="S75" s="486">
        <v>0.76700000000000002</v>
      </c>
      <c r="T75" s="486">
        <v>0.307</v>
      </c>
      <c r="U75" s="486">
        <v>0.187</v>
      </c>
      <c r="V75" s="487">
        <v>0.30299999999999999</v>
      </c>
      <c r="W75" s="486">
        <v>0.21</v>
      </c>
      <c r="X75" s="486">
        <v>7.5600000000000001E-2</v>
      </c>
      <c r="Y75" s="486">
        <v>1.7500000000000002E-2</v>
      </c>
      <c r="Z75" s="469" t="s">
        <v>3590</v>
      </c>
      <c r="AA75" s="474" t="s">
        <v>3555</v>
      </c>
      <c r="AB75" s="248"/>
      <c r="AC75" s="488"/>
      <c r="AD75" s="488"/>
    </row>
    <row r="76" spans="1:30" s="190" customFormat="1" ht="27.6" customHeight="1">
      <c r="A76" s="121" t="s">
        <v>3615</v>
      </c>
      <c r="B76" s="217" t="s">
        <v>3616</v>
      </c>
      <c r="C76" s="476" t="s">
        <v>3558</v>
      </c>
      <c r="D76" s="469" t="s">
        <v>3588</v>
      </c>
      <c r="E76" s="310" t="s">
        <v>3589</v>
      </c>
      <c r="F76" s="220">
        <v>403</v>
      </c>
      <c r="G76" s="470">
        <v>125</v>
      </c>
      <c r="H76" s="470">
        <v>223</v>
      </c>
      <c r="I76" s="470">
        <v>54.8</v>
      </c>
      <c r="J76" s="487">
        <v>1.19</v>
      </c>
      <c r="K76" s="486">
        <v>0.52700000000000002</v>
      </c>
      <c r="L76" s="486">
        <v>0.45300000000000001</v>
      </c>
      <c r="M76" s="486">
        <v>0.214</v>
      </c>
      <c r="N76" s="487">
        <v>0.17599999999999999</v>
      </c>
      <c r="O76" s="486">
        <v>0.113</v>
      </c>
      <c r="P76" s="486">
        <v>2.9700000000000001E-2</v>
      </c>
      <c r="Q76" s="486">
        <v>3.3000000000000002E-2</v>
      </c>
      <c r="R76" s="487">
        <v>1.02</v>
      </c>
      <c r="S76" s="486">
        <v>0.41399999999999998</v>
      </c>
      <c r="T76" s="486">
        <v>0.42299999999999999</v>
      </c>
      <c r="U76" s="486">
        <v>0.18099999999999999</v>
      </c>
      <c r="V76" s="487">
        <v>0.14499999999999999</v>
      </c>
      <c r="W76" s="486">
        <v>3.1399999999999997E-2</v>
      </c>
      <c r="X76" s="486">
        <v>9.7000000000000003E-2</v>
      </c>
      <c r="Y76" s="486">
        <v>1.67E-2</v>
      </c>
      <c r="Z76" s="469" t="s">
        <v>3590</v>
      </c>
      <c r="AA76" s="482" t="s">
        <v>3559</v>
      </c>
      <c r="AB76" s="248"/>
      <c r="AC76" s="488"/>
      <c r="AD76" s="488"/>
    </row>
    <row r="77" spans="1:30" s="235" customFormat="1" ht="39.950000000000003" customHeight="1">
      <c r="A77" s="458">
        <v>64.021000000000001</v>
      </c>
      <c r="B77" s="217" t="s">
        <v>3617</v>
      </c>
      <c r="C77" s="476" t="s">
        <v>3561</v>
      </c>
      <c r="D77" s="483" t="s">
        <v>3588</v>
      </c>
      <c r="E77" s="493" t="s">
        <v>3589</v>
      </c>
      <c r="F77" s="224">
        <v>317</v>
      </c>
      <c r="G77" s="477">
        <v>39.200000000000003</v>
      </c>
      <c r="H77" s="477">
        <v>223</v>
      </c>
      <c r="I77" s="477">
        <v>54.8</v>
      </c>
      <c r="J77" s="489">
        <v>0.90400000000000003</v>
      </c>
      <c r="K77" s="490">
        <v>0.23799999999999999</v>
      </c>
      <c r="L77" s="490">
        <v>0.45300000000000001</v>
      </c>
      <c r="M77" s="490">
        <v>0.214</v>
      </c>
      <c r="N77" s="489">
        <v>0.29399999999999998</v>
      </c>
      <c r="O77" s="490">
        <v>0.23100000000000001</v>
      </c>
      <c r="P77" s="490">
        <v>2.9700000000000001E-2</v>
      </c>
      <c r="Q77" s="490">
        <v>3.3000000000000002E-2</v>
      </c>
      <c r="R77" s="489">
        <v>0.61099999999999999</v>
      </c>
      <c r="S77" s="490">
        <v>6.5700000000000003E-3</v>
      </c>
      <c r="T77" s="490">
        <v>0.42299999999999999</v>
      </c>
      <c r="U77" s="490">
        <v>0.18099999999999999</v>
      </c>
      <c r="V77" s="489">
        <v>0.123</v>
      </c>
      <c r="W77" s="490">
        <v>9.5700000000000004E-3</v>
      </c>
      <c r="X77" s="490">
        <v>9.7000000000000003E-2</v>
      </c>
      <c r="Y77" s="490">
        <v>1.67E-2</v>
      </c>
      <c r="Z77" s="483" t="s">
        <v>3590</v>
      </c>
      <c r="AA77" s="482" t="s">
        <v>3562</v>
      </c>
      <c r="AB77" s="431"/>
      <c r="AC77" s="494"/>
      <c r="AD77" s="494"/>
    </row>
    <row r="78" spans="1:30" s="190" customFormat="1" ht="15" customHeight="1">
      <c r="A78" s="121" t="s">
        <v>3618</v>
      </c>
      <c r="B78" s="217" t="s">
        <v>3619</v>
      </c>
      <c r="C78" s="468" t="s">
        <v>3565</v>
      </c>
      <c r="D78" s="469" t="s">
        <v>3588</v>
      </c>
      <c r="E78" s="310" t="s">
        <v>3589</v>
      </c>
      <c r="F78" s="220">
        <v>419</v>
      </c>
      <c r="G78" s="470">
        <v>294</v>
      </c>
      <c r="H78" s="470">
        <v>69.7</v>
      </c>
      <c r="I78" s="470">
        <v>55.3</v>
      </c>
      <c r="J78" s="487">
        <v>1.43</v>
      </c>
      <c r="K78" s="486">
        <v>1.02</v>
      </c>
      <c r="L78" s="486">
        <v>0.187</v>
      </c>
      <c r="M78" s="486">
        <v>0.218</v>
      </c>
      <c r="N78" s="487">
        <v>5.8200000000000002E-2</v>
      </c>
      <c r="O78" s="486">
        <v>1.0200000000000001E-2</v>
      </c>
      <c r="P78" s="486">
        <v>1.26E-2</v>
      </c>
      <c r="Q78" s="486">
        <v>3.5400000000000001E-2</v>
      </c>
      <c r="R78" s="487">
        <v>1.37</v>
      </c>
      <c r="S78" s="486">
        <v>1.01</v>
      </c>
      <c r="T78" s="486">
        <v>0.17499999999999999</v>
      </c>
      <c r="U78" s="486">
        <v>0.183</v>
      </c>
      <c r="V78" s="487">
        <v>0.26600000000000001</v>
      </c>
      <c r="W78" s="486">
        <v>0.214</v>
      </c>
      <c r="X78" s="486">
        <v>3.6299999999999999E-2</v>
      </c>
      <c r="Y78" s="486">
        <v>1.6199999999999999E-2</v>
      </c>
      <c r="Z78" s="469" t="s">
        <v>3590</v>
      </c>
      <c r="AA78" s="474" t="s">
        <v>3566</v>
      </c>
      <c r="AB78" s="248"/>
      <c r="AC78" s="488"/>
      <c r="AD78" s="488"/>
    </row>
    <row r="79" spans="1:30" s="190" customFormat="1" ht="15" customHeight="1">
      <c r="A79" s="121" t="s">
        <v>3620</v>
      </c>
      <c r="B79" s="217" t="s">
        <v>3621</v>
      </c>
      <c r="C79" s="468" t="s">
        <v>3569</v>
      </c>
      <c r="D79" s="469" t="s">
        <v>3588</v>
      </c>
      <c r="E79" s="310" t="s">
        <v>3589</v>
      </c>
      <c r="F79" s="220">
        <v>2450</v>
      </c>
      <c r="G79" s="470">
        <v>1270</v>
      </c>
      <c r="H79" s="470">
        <v>164</v>
      </c>
      <c r="I79" s="470">
        <v>1010</v>
      </c>
      <c r="J79" s="487">
        <v>13.2</v>
      </c>
      <c r="K79" s="486">
        <v>10.7</v>
      </c>
      <c r="L79" s="486">
        <v>0.4</v>
      </c>
      <c r="M79" s="486">
        <v>2.11</v>
      </c>
      <c r="N79" s="487">
        <v>9.3800000000000008</v>
      </c>
      <c r="O79" s="486">
        <v>9</v>
      </c>
      <c r="P79" s="486">
        <v>7.6899999999999996E-2</v>
      </c>
      <c r="Q79" s="486">
        <v>0.309</v>
      </c>
      <c r="R79" s="487">
        <v>3.8</v>
      </c>
      <c r="S79" s="486">
        <v>1.68</v>
      </c>
      <c r="T79" s="486">
        <v>0.32300000000000001</v>
      </c>
      <c r="U79" s="486">
        <v>1.8</v>
      </c>
      <c r="V79" s="487">
        <v>0.54400000000000004</v>
      </c>
      <c r="W79" s="486">
        <v>9.4200000000000006E-2</v>
      </c>
      <c r="X79" s="486">
        <v>6.9400000000000003E-2</v>
      </c>
      <c r="Y79" s="486">
        <v>0.38</v>
      </c>
      <c r="Z79" s="469" t="s">
        <v>3590</v>
      </c>
      <c r="AA79" s="474" t="s">
        <v>3570</v>
      </c>
      <c r="AB79" s="248"/>
      <c r="AC79" s="488"/>
      <c r="AD79" s="488"/>
    </row>
    <row r="80" spans="1:30" s="190" customFormat="1" ht="15" customHeight="1">
      <c r="A80" s="121" t="s">
        <v>3622</v>
      </c>
      <c r="B80" s="217" t="s">
        <v>3623</v>
      </c>
      <c r="C80" s="468" t="s">
        <v>3573</v>
      </c>
      <c r="D80" s="469" t="s">
        <v>3588</v>
      </c>
      <c r="E80" s="310" t="s">
        <v>3589</v>
      </c>
      <c r="F80" s="220">
        <v>2230</v>
      </c>
      <c r="G80" s="470">
        <v>1880</v>
      </c>
      <c r="H80" s="470">
        <v>146</v>
      </c>
      <c r="I80" s="470">
        <v>205</v>
      </c>
      <c r="J80" s="487">
        <v>5.37</v>
      </c>
      <c r="K80" s="486">
        <v>4.21</v>
      </c>
      <c r="L80" s="486">
        <v>0.45500000000000002</v>
      </c>
      <c r="M80" s="486">
        <v>0.70799999999999996</v>
      </c>
      <c r="N80" s="487">
        <v>0.13</v>
      </c>
      <c r="O80" s="486">
        <v>1.8599999999999998E-2</v>
      </c>
      <c r="P80" s="486">
        <v>6.5199999999999994E-2</v>
      </c>
      <c r="Q80" s="486">
        <v>4.5699999999999998E-2</v>
      </c>
      <c r="R80" s="487">
        <v>5.24</v>
      </c>
      <c r="S80" s="486">
        <v>4.1900000000000004</v>
      </c>
      <c r="T80" s="486">
        <v>0.39</v>
      </c>
      <c r="U80" s="486">
        <v>0.66300000000000003</v>
      </c>
      <c r="V80" s="487">
        <v>1.28</v>
      </c>
      <c r="W80" s="486">
        <v>1.1299999999999999</v>
      </c>
      <c r="X80" s="486">
        <v>6.5199999999999994E-2</v>
      </c>
      <c r="Y80" s="486">
        <v>8.5699999999999998E-2</v>
      </c>
      <c r="Z80" s="469" t="s">
        <v>3590</v>
      </c>
      <c r="AA80" s="474" t="s">
        <v>3574</v>
      </c>
      <c r="AB80" s="248"/>
      <c r="AC80" s="488"/>
      <c r="AD80" s="488"/>
    </row>
    <row r="81" spans="1:30" s="190" customFormat="1" ht="15" customHeight="1">
      <c r="A81" s="121" t="s">
        <v>3624</v>
      </c>
      <c r="B81" s="217" t="s">
        <v>3625</v>
      </c>
      <c r="C81" s="468" t="s">
        <v>3577</v>
      </c>
      <c r="D81" s="469" t="s">
        <v>3588</v>
      </c>
      <c r="E81" s="310" t="s">
        <v>3589</v>
      </c>
      <c r="F81" s="220">
        <v>281</v>
      </c>
      <c r="G81" s="470">
        <v>257</v>
      </c>
      <c r="H81" s="470">
        <v>22.2</v>
      </c>
      <c r="I81" s="470">
        <v>2.29</v>
      </c>
      <c r="J81" s="487">
        <v>0.47499999999999998</v>
      </c>
      <c r="K81" s="486">
        <v>0.40400000000000003</v>
      </c>
      <c r="L81" s="486">
        <v>6.2899999999999998E-2</v>
      </c>
      <c r="M81" s="486">
        <v>7.5300000000000002E-3</v>
      </c>
      <c r="N81" s="487">
        <v>1.18E-2</v>
      </c>
      <c r="O81" s="486">
        <v>7.7499999999999999E-3</v>
      </c>
      <c r="P81" s="486">
        <v>3.9100000000000003E-3</v>
      </c>
      <c r="Q81" s="486">
        <v>1.9599999999999999E-4</v>
      </c>
      <c r="R81" s="487">
        <v>0.46300000000000002</v>
      </c>
      <c r="S81" s="486">
        <v>0.39600000000000002</v>
      </c>
      <c r="T81" s="486">
        <v>5.8999999999999997E-2</v>
      </c>
      <c r="U81" s="486">
        <v>7.3299999999999997E-3</v>
      </c>
      <c r="V81" s="487">
        <v>0.13900000000000001</v>
      </c>
      <c r="W81" s="486">
        <v>0.125</v>
      </c>
      <c r="X81" s="486">
        <v>1.2500000000000001E-2</v>
      </c>
      <c r="Y81" s="486">
        <v>1.0499999999999999E-3</v>
      </c>
      <c r="Z81" s="469" t="s">
        <v>3590</v>
      </c>
      <c r="AA81" s="474" t="s">
        <v>3578</v>
      </c>
      <c r="AB81" s="248"/>
      <c r="AC81" s="488"/>
      <c r="AD81" s="488"/>
    </row>
    <row r="82" spans="1:30" s="190" customFormat="1" ht="15" customHeight="1">
      <c r="A82" s="121" t="s">
        <v>3626</v>
      </c>
      <c r="B82" s="217" t="s">
        <v>3627</v>
      </c>
      <c r="C82" s="468" t="s">
        <v>3581</v>
      </c>
      <c r="D82" s="469" t="s">
        <v>3588</v>
      </c>
      <c r="E82" s="310" t="s">
        <v>3589</v>
      </c>
      <c r="F82" s="220">
        <v>4140</v>
      </c>
      <c r="G82" s="470">
        <v>2360</v>
      </c>
      <c r="H82" s="470">
        <v>208</v>
      </c>
      <c r="I82" s="470">
        <v>1580</v>
      </c>
      <c r="J82" s="487">
        <v>16.3</v>
      </c>
      <c r="K82" s="486">
        <v>12.2</v>
      </c>
      <c r="L82" s="486">
        <v>0.65100000000000002</v>
      </c>
      <c r="M82" s="486">
        <v>3.53</v>
      </c>
      <c r="N82" s="487">
        <v>3.08</v>
      </c>
      <c r="O82" s="486">
        <v>2.61</v>
      </c>
      <c r="P82" s="486">
        <v>8.6599999999999996E-2</v>
      </c>
      <c r="Q82" s="486">
        <v>0.38200000000000001</v>
      </c>
      <c r="R82" s="487">
        <v>13.3</v>
      </c>
      <c r="S82" s="486">
        <v>9.5500000000000007</v>
      </c>
      <c r="T82" s="486">
        <v>0.56399999999999995</v>
      </c>
      <c r="U82" s="486">
        <v>3.15</v>
      </c>
      <c r="V82" s="487">
        <v>1.44</v>
      </c>
      <c r="W82" s="486">
        <v>0.57799999999999996</v>
      </c>
      <c r="X82" s="486">
        <v>9.2200000000000004E-2</v>
      </c>
      <c r="Y82" s="486">
        <v>0.77400000000000002</v>
      </c>
      <c r="Z82" s="469" t="s">
        <v>3590</v>
      </c>
      <c r="AA82" s="474" t="s">
        <v>3581</v>
      </c>
      <c r="AB82" s="248"/>
      <c r="AC82" s="488"/>
      <c r="AD82" s="488"/>
    </row>
    <row r="83" spans="1:30" s="190" customFormat="1" ht="15" customHeight="1">
      <c r="A83" s="498" t="s">
        <v>3628</v>
      </c>
      <c r="B83" s="739" t="s">
        <v>3629</v>
      </c>
      <c r="C83" s="499" t="s">
        <v>3584</v>
      </c>
      <c r="D83" s="500" t="s">
        <v>3588</v>
      </c>
      <c r="E83" s="501" t="s">
        <v>3589</v>
      </c>
      <c r="F83" s="220">
        <v>2110</v>
      </c>
      <c r="G83" s="470">
        <v>1630</v>
      </c>
      <c r="H83" s="470">
        <v>198</v>
      </c>
      <c r="I83" s="470">
        <v>283</v>
      </c>
      <c r="J83" s="487">
        <v>8.7899999999999991</v>
      </c>
      <c r="K83" s="486">
        <v>7.29</v>
      </c>
      <c r="L83" s="486">
        <v>0.61799999999999999</v>
      </c>
      <c r="M83" s="486">
        <v>0.88300000000000001</v>
      </c>
      <c r="N83" s="487">
        <v>1.71</v>
      </c>
      <c r="O83" s="486">
        <v>1.57</v>
      </c>
      <c r="P83" s="486">
        <v>8.8400000000000006E-2</v>
      </c>
      <c r="Q83" s="486">
        <v>5.2400000000000002E-2</v>
      </c>
      <c r="R83" s="487">
        <v>7.09</v>
      </c>
      <c r="S83" s="486">
        <v>5.73</v>
      </c>
      <c r="T83" s="486">
        <v>0.52900000000000003</v>
      </c>
      <c r="U83" s="486">
        <v>0.83</v>
      </c>
      <c r="V83" s="487">
        <v>0.56599999999999995</v>
      </c>
      <c r="W83" s="486">
        <v>0.36699999999999999</v>
      </c>
      <c r="X83" s="486">
        <v>8.8400000000000006E-2</v>
      </c>
      <c r="Y83" s="486">
        <v>0.111</v>
      </c>
      <c r="Z83" s="500" t="s">
        <v>3590</v>
      </c>
      <c r="AA83" s="502" t="s">
        <v>3584</v>
      </c>
      <c r="AB83" s="248"/>
      <c r="AC83" s="488"/>
      <c r="AD83" s="488"/>
    </row>
    <row r="84" spans="1:30" s="190" customFormat="1" ht="35.25" customHeight="1">
      <c r="A84" s="2069" t="s">
        <v>3630</v>
      </c>
      <c r="B84" s="2069"/>
      <c r="C84" s="2069"/>
      <c r="D84" s="2069"/>
      <c r="E84" s="2069"/>
      <c r="F84" s="2069"/>
      <c r="G84" s="2069"/>
      <c r="H84" s="2069"/>
      <c r="I84" s="2069"/>
      <c r="J84" s="2069"/>
      <c r="K84" s="2069"/>
      <c r="L84" s="2069"/>
      <c r="M84" s="2069"/>
      <c r="N84" s="2069"/>
      <c r="O84" s="2069"/>
      <c r="P84" s="2069"/>
      <c r="Q84" s="2069"/>
      <c r="R84" s="2069"/>
      <c r="S84" s="2069"/>
      <c r="T84" s="2069"/>
      <c r="U84" s="2069"/>
      <c r="V84" s="2069"/>
      <c r="W84" s="2069"/>
      <c r="X84" s="2069"/>
      <c r="Y84" s="2069"/>
      <c r="Z84" s="2069"/>
      <c r="AA84" s="2069"/>
      <c r="AB84" s="248"/>
      <c r="AC84" s="248"/>
      <c r="AD84" s="248"/>
    </row>
    <row r="85" spans="1:30" s="190" customFormat="1" ht="13.5" customHeight="1">
      <c r="C85" s="789" t="s">
        <v>2989</v>
      </c>
      <c r="D85" s="790"/>
      <c r="E85" s="790" t="s">
        <v>2989</v>
      </c>
      <c r="F85" s="790" t="s">
        <v>2989</v>
      </c>
      <c r="G85" s="790" t="s">
        <v>2989</v>
      </c>
      <c r="H85" s="790" t="s">
        <v>2989</v>
      </c>
      <c r="I85" s="790"/>
      <c r="J85" s="790" t="s">
        <v>2989</v>
      </c>
      <c r="K85" s="790" t="s">
        <v>2989</v>
      </c>
      <c r="L85" s="790" t="s">
        <v>2989</v>
      </c>
      <c r="M85" s="790"/>
      <c r="N85" s="790" t="s">
        <v>2989</v>
      </c>
      <c r="O85" s="790" t="s">
        <v>2989</v>
      </c>
      <c r="P85" s="790" t="s">
        <v>2989</v>
      </c>
      <c r="Q85" s="790"/>
      <c r="R85" s="791" t="s">
        <v>2989</v>
      </c>
      <c r="S85" s="790" t="s">
        <v>2989</v>
      </c>
      <c r="T85" s="790" t="s">
        <v>2989</v>
      </c>
      <c r="U85" s="790"/>
      <c r="V85" s="790" t="s">
        <v>2989</v>
      </c>
      <c r="W85" s="790" t="s">
        <v>2989</v>
      </c>
      <c r="X85" s="790" t="s">
        <v>2989</v>
      </c>
      <c r="Y85" s="790"/>
      <c r="Z85" s="790"/>
      <c r="AA85" s="792" t="s">
        <v>2989</v>
      </c>
      <c r="AB85" s="248"/>
      <c r="AC85" s="248"/>
      <c r="AD85" s="248"/>
    </row>
    <row r="86" spans="1:30" s="190" customFormat="1" ht="13.5" customHeight="1">
      <c r="C86" s="789" t="s">
        <v>2989</v>
      </c>
      <c r="D86" s="790"/>
      <c r="E86" s="790" t="s">
        <v>2989</v>
      </c>
      <c r="F86" s="790" t="s">
        <v>2989</v>
      </c>
      <c r="G86" s="790" t="s">
        <v>2989</v>
      </c>
      <c r="H86" s="790" t="s">
        <v>2989</v>
      </c>
      <c r="I86" s="790"/>
      <c r="J86" s="790" t="s">
        <v>2989</v>
      </c>
      <c r="K86" s="790" t="s">
        <v>2989</v>
      </c>
      <c r="L86" s="790" t="s">
        <v>2989</v>
      </c>
      <c r="M86" s="790"/>
      <c r="N86" s="790" t="s">
        <v>2989</v>
      </c>
      <c r="O86" s="790" t="s">
        <v>2989</v>
      </c>
      <c r="P86" s="790" t="s">
        <v>2989</v>
      </c>
      <c r="Q86" s="790"/>
      <c r="R86" s="791" t="s">
        <v>2989</v>
      </c>
      <c r="S86" s="790" t="s">
        <v>2989</v>
      </c>
      <c r="T86" s="790" t="s">
        <v>2989</v>
      </c>
      <c r="U86" s="790"/>
      <c r="V86" s="790" t="s">
        <v>2989</v>
      </c>
      <c r="W86" s="790" t="s">
        <v>2989</v>
      </c>
      <c r="X86" s="790" t="s">
        <v>2989</v>
      </c>
      <c r="Y86" s="790"/>
      <c r="Z86" s="790"/>
      <c r="AA86" s="792" t="s">
        <v>2989</v>
      </c>
      <c r="AB86" s="248"/>
      <c r="AC86" s="248"/>
      <c r="AD86" s="248"/>
    </row>
    <row r="87" spans="1:30" s="190" customFormat="1" ht="13.5" customHeight="1">
      <c r="C87" s="789" t="s">
        <v>2989</v>
      </c>
      <c r="D87" s="790"/>
      <c r="E87" s="790" t="s">
        <v>2989</v>
      </c>
      <c r="F87" s="790" t="s">
        <v>2989</v>
      </c>
      <c r="G87" s="790" t="s">
        <v>2989</v>
      </c>
      <c r="H87" s="790" t="s">
        <v>2989</v>
      </c>
      <c r="I87" s="790"/>
      <c r="J87" s="790" t="s">
        <v>2989</v>
      </c>
      <c r="K87" s="790" t="s">
        <v>2989</v>
      </c>
      <c r="L87" s="790" t="s">
        <v>2989</v>
      </c>
      <c r="M87" s="790"/>
      <c r="N87" s="790" t="s">
        <v>2989</v>
      </c>
      <c r="O87" s="790" t="s">
        <v>2989</v>
      </c>
      <c r="P87" s="790" t="s">
        <v>2989</v>
      </c>
      <c r="Q87" s="790"/>
      <c r="R87" s="791" t="s">
        <v>2989</v>
      </c>
      <c r="S87" s="790" t="s">
        <v>2989</v>
      </c>
      <c r="T87" s="790" t="s">
        <v>2989</v>
      </c>
      <c r="U87" s="790"/>
      <c r="V87" s="790" t="s">
        <v>2989</v>
      </c>
      <c r="W87" s="790" t="s">
        <v>2989</v>
      </c>
      <c r="X87" s="790" t="s">
        <v>2989</v>
      </c>
      <c r="Y87" s="790"/>
      <c r="Z87" s="790"/>
      <c r="AA87" s="792" t="s">
        <v>2989</v>
      </c>
      <c r="AB87" s="248"/>
      <c r="AC87" s="248"/>
      <c r="AD87" s="248"/>
    </row>
    <row r="89" spans="1:30" s="190" customFormat="1" ht="13.5" customHeight="1">
      <c r="C89" s="789" t="s">
        <v>2989</v>
      </c>
      <c r="D89" s="790"/>
      <c r="E89" s="790" t="s">
        <v>2989</v>
      </c>
      <c r="F89" s="790" t="s">
        <v>2989</v>
      </c>
      <c r="G89" s="790" t="s">
        <v>2989</v>
      </c>
      <c r="H89" s="790" t="s">
        <v>2989</v>
      </c>
      <c r="I89" s="790"/>
      <c r="J89" s="790" t="s">
        <v>2989</v>
      </c>
      <c r="K89" s="790" t="s">
        <v>2989</v>
      </c>
      <c r="L89" s="790" t="s">
        <v>2989</v>
      </c>
      <c r="M89" s="790"/>
      <c r="N89" s="790" t="s">
        <v>2989</v>
      </c>
      <c r="O89" s="790" t="s">
        <v>2989</v>
      </c>
      <c r="P89" s="790" t="s">
        <v>2989</v>
      </c>
      <c r="Q89" s="790"/>
      <c r="R89" s="791" t="s">
        <v>2989</v>
      </c>
      <c r="S89" s="790" t="s">
        <v>2989</v>
      </c>
      <c r="T89" s="790" t="s">
        <v>2989</v>
      </c>
      <c r="U89" s="790"/>
      <c r="V89" s="790" t="s">
        <v>2989</v>
      </c>
      <c r="W89" s="790" t="s">
        <v>2989</v>
      </c>
      <c r="X89" s="790" t="s">
        <v>2989</v>
      </c>
      <c r="Y89" s="790"/>
      <c r="Z89" s="790"/>
      <c r="AA89" s="792" t="s">
        <v>2989</v>
      </c>
      <c r="AB89" s="248"/>
      <c r="AC89" s="248"/>
      <c r="AD89" s="248"/>
    </row>
    <row r="90" spans="1:30" s="190" customFormat="1" ht="13.5" customHeight="1">
      <c r="C90" s="789" t="s">
        <v>2989</v>
      </c>
      <c r="D90" s="790"/>
      <c r="E90" s="790" t="s">
        <v>2989</v>
      </c>
      <c r="F90" s="790" t="s">
        <v>2989</v>
      </c>
      <c r="G90" s="790" t="s">
        <v>2989</v>
      </c>
      <c r="H90" s="790" t="s">
        <v>2989</v>
      </c>
      <c r="I90" s="790"/>
      <c r="J90" s="790" t="s">
        <v>2989</v>
      </c>
      <c r="K90" s="790" t="s">
        <v>2989</v>
      </c>
      <c r="L90" s="790" t="s">
        <v>2989</v>
      </c>
      <c r="M90" s="790"/>
      <c r="N90" s="790" t="s">
        <v>2989</v>
      </c>
      <c r="O90" s="790" t="s">
        <v>2989</v>
      </c>
      <c r="P90" s="790" t="s">
        <v>2989</v>
      </c>
      <c r="Q90" s="790"/>
      <c r="R90" s="791" t="s">
        <v>2989</v>
      </c>
      <c r="S90" s="790" t="s">
        <v>2989</v>
      </c>
      <c r="T90" s="790" t="s">
        <v>2989</v>
      </c>
      <c r="U90" s="790"/>
      <c r="V90" s="790" t="s">
        <v>2989</v>
      </c>
      <c r="W90" s="790" t="s">
        <v>2989</v>
      </c>
      <c r="X90" s="790" t="s">
        <v>2989</v>
      </c>
      <c r="Y90" s="790"/>
      <c r="Z90" s="790"/>
      <c r="AA90" s="792" t="s">
        <v>2989</v>
      </c>
      <c r="AB90" s="248"/>
      <c r="AC90" s="248"/>
      <c r="AD90" s="248"/>
    </row>
    <row r="91" spans="1:30" s="190" customFormat="1" ht="13.5" customHeight="1">
      <c r="C91" s="789" t="s">
        <v>2989</v>
      </c>
      <c r="D91" s="790"/>
      <c r="E91" s="790" t="s">
        <v>2989</v>
      </c>
      <c r="F91" s="790" t="s">
        <v>2989</v>
      </c>
      <c r="G91" s="790" t="s">
        <v>2989</v>
      </c>
      <c r="H91" s="790" t="s">
        <v>2989</v>
      </c>
      <c r="I91" s="790"/>
      <c r="J91" s="790" t="s">
        <v>2989</v>
      </c>
      <c r="K91" s="790" t="s">
        <v>2989</v>
      </c>
      <c r="L91" s="790" t="s">
        <v>2989</v>
      </c>
      <c r="M91" s="790"/>
      <c r="N91" s="790" t="s">
        <v>2989</v>
      </c>
      <c r="O91" s="790" t="s">
        <v>2989</v>
      </c>
      <c r="P91" s="790" t="s">
        <v>2989</v>
      </c>
      <c r="Q91" s="790"/>
      <c r="R91" s="791" t="s">
        <v>2989</v>
      </c>
      <c r="S91" s="790" t="s">
        <v>2989</v>
      </c>
      <c r="T91" s="790" t="s">
        <v>2989</v>
      </c>
      <c r="U91" s="790"/>
      <c r="V91" s="790" t="s">
        <v>2989</v>
      </c>
      <c r="W91" s="790" t="s">
        <v>2989</v>
      </c>
      <c r="X91" s="790" t="s">
        <v>2989</v>
      </c>
      <c r="Y91" s="790"/>
      <c r="Z91" s="790"/>
      <c r="AA91" s="792" t="s">
        <v>2989</v>
      </c>
      <c r="AB91" s="248"/>
      <c r="AC91" s="248"/>
      <c r="AD91" s="248"/>
    </row>
    <row r="92" spans="1:30" s="190" customFormat="1" ht="13.5" customHeight="1">
      <c r="C92" s="789" t="s">
        <v>2989</v>
      </c>
      <c r="D92" s="790"/>
      <c r="E92" s="790" t="s">
        <v>2989</v>
      </c>
      <c r="F92" s="790" t="s">
        <v>2989</v>
      </c>
      <c r="G92" s="790" t="s">
        <v>2989</v>
      </c>
      <c r="H92" s="790" t="s">
        <v>2989</v>
      </c>
      <c r="I92" s="790"/>
      <c r="J92" s="790" t="s">
        <v>2989</v>
      </c>
      <c r="K92" s="790" t="s">
        <v>2989</v>
      </c>
      <c r="L92" s="790" t="s">
        <v>2989</v>
      </c>
      <c r="M92" s="790"/>
      <c r="N92" s="790" t="s">
        <v>2989</v>
      </c>
      <c r="O92" s="790" t="s">
        <v>2989</v>
      </c>
      <c r="P92" s="790" t="s">
        <v>2989</v>
      </c>
      <c r="Q92" s="790"/>
      <c r="R92" s="791" t="s">
        <v>2989</v>
      </c>
      <c r="S92" s="790" t="s">
        <v>2989</v>
      </c>
      <c r="T92" s="790" t="s">
        <v>2989</v>
      </c>
      <c r="U92" s="790"/>
      <c r="V92" s="790" t="s">
        <v>2989</v>
      </c>
      <c r="W92" s="790" t="s">
        <v>2989</v>
      </c>
      <c r="X92" s="790" t="s">
        <v>2989</v>
      </c>
      <c r="Y92" s="790"/>
      <c r="Z92" s="790"/>
      <c r="AA92" s="792" t="s">
        <v>2989</v>
      </c>
      <c r="AB92" s="248"/>
      <c r="AC92" s="248"/>
      <c r="AD92" s="248"/>
    </row>
    <row r="93" spans="1:30" s="190" customFormat="1" ht="13.5" customHeight="1">
      <c r="C93" s="789" t="s">
        <v>2989</v>
      </c>
      <c r="D93" s="790"/>
      <c r="E93" s="790" t="s">
        <v>2989</v>
      </c>
      <c r="F93" s="790" t="s">
        <v>2989</v>
      </c>
      <c r="G93" s="790" t="s">
        <v>2989</v>
      </c>
      <c r="H93" s="790" t="s">
        <v>2989</v>
      </c>
      <c r="I93" s="790"/>
      <c r="J93" s="790" t="s">
        <v>2989</v>
      </c>
      <c r="K93" s="790" t="s">
        <v>2989</v>
      </c>
      <c r="L93" s="790" t="s">
        <v>2989</v>
      </c>
      <c r="M93" s="790"/>
      <c r="N93" s="790" t="s">
        <v>2989</v>
      </c>
      <c r="O93" s="790" t="s">
        <v>2989</v>
      </c>
      <c r="P93" s="790" t="s">
        <v>2989</v>
      </c>
      <c r="Q93" s="790"/>
      <c r="R93" s="791" t="s">
        <v>2989</v>
      </c>
      <c r="S93" s="790" t="s">
        <v>2989</v>
      </c>
      <c r="T93" s="790" t="s">
        <v>2989</v>
      </c>
      <c r="U93" s="790"/>
      <c r="V93" s="790" t="s">
        <v>2989</v>
      </c>
      <c r="W93" s="790" t="s">
        <v>2989</v>
      </c>
      <c r="X93" s="790" t="s">
        <v>2989</v>
      </c>
      <c r="Y93" s="790"/>
      <c r="Z93" s="790"/>
      <c r="AA93" s="792" t="s">
        <v>2989</v>
      </c>
      <c r="AB93" s="248"/>
      <c r="AC93" s="248"/>
      <c r="AD93" s="248"/>
    </row>
    <row r="94" spans="1:30" s="190" customFormat="1" ht="13.5" customHeight="1">
      <c r="C94" s="789" t="s">
        <v>2989</v>
      </c>
      <c r="D94" s="790"/>
      <c r="E94" s="790" t="s">
        <v>2989</v>
      </c>
      <c r="F94" s="790" t="s">
        <v>2989</v>
      </c>
      <c r="G94" s="790" t="s">
        <v>2989</v>
      </c>
      <c r="H94" s="790" t="s">
        <v>2989</v>
      </c>
      <c r="I94" s="790"/>
      <c r="J94" s="790" t="s">
        <v>2989</v>
      </c>
      <c r="K94" s="790" t="s">
        <v>2989</v>
      </c>
      <c r="L94" s="790" t="s">
        <v>2989</v>
      </c>
      <c r="M94" s="790"/>
      <c r="N94" s="790" t="s">
        <v>2989</v>
      </c>
      <c r="O94" s="790" t="s">
        <v>2989</v>
      </c>
      <c r="P94" s="790" t="s">
        <v>2989</v>
      </c>
      <c r="Q94" s="790"/>
      <c r="R94" s="791" t="s">
        <v>2989</v>
      </c>
      <c r="S94" s="790" t="s">
        <v>2989</v>
      </c>
      <c r="T94" s="790" t="s">
        <v>2989</v>
      </c>
      <c r="U94" s="790"/>
      <c r="V94" s="790" t="s">
        <v>2989</v>
      </c>
      <c r="W94" s="790" t="s">
        <v>2989</v>
      </c>
      <c r="X94" s="790" t="s">
        <v>2989</v>
      </c>
      <c r="Y94" s="790"/>
      <c r="Z94" s="790"/>
      <c r="AA94" s="792" t="s">
        <v>2989</v>
      </c>
      <c r="AB94" s="248"/>
      <c r="AC94" s="248"/>
      <c r="AD94" s="248"/>
    </row>
    <row r="95" spans="1:30" s="190" customFormat="1" ht="13.5" customHeight="1">
      <c r="C95" s="789" t="s">
        <v>2989</v>
      </c>
      <c r="D95" s="790"/>
      <c r="E95" s="790" t="s">
        <v>2989</v>
      </c>
      <c r="F95" s="790" t="s">
        <v>2989</v>
      </c>
      <c r="G95" s="790" t="s">
        <v>2989</v>
      </c>
      <c r="H95" s="790" t="s">
        <v>2989</v>
      </c>
      <c r="I95" s="790"/>
      <c r="J95" s="790" t="s">
        <v>2989</v>
      </c>
      <c r="K95" s="790" t="s">
        <v>2989</v>
      </c>
      <c r="L95" s="790" t="s">
        <v>2989</v>
      </c>
      <c r="M95" s="790"/>
      <c r="N95" s="790" t="s">
        <v>2989</v>
      </c>
      <c r="O95" s="790" t="s">
        <v>2989</v>
      </c>
      <c r="P95" s="790" t="s">
        <v>2989</v>
      </c>
      <c r="Q95" s="790"/>
      <c r="R95" s="791" t="s">
        <v>2989</v>
      </c>
      <c r="S95" s="790" t="s">
        <v>2989</v>
      </c>
      <c r="T95" s="790" t="s">
        <v>2989</v>
      </c>
      <c r="U95" s="790"/>
      <c r="V95" s="790" t="s">
        <v>2989</v>
      </c>
      <c r="W95" s="790" t="s">
        <v>2989</v>
      </c>
      <c r="X95" s="790" t="s">
        <v>2989</v>
      </c>
      <c r="Y95" s="790"/>
      <c r="Z95" s="790"/>
      <c r="AA95" s="792" t="s">
        <v>2989</v>
      </c>
      <c r="AB95" s="248"/>
      <c r="AC95" s="248"/>
      <c r="AD95" s="248"/>
    </row>
    <row r="96" spans="1:30" s="190" customFormat="1" ht="13.5" customHeight="1">
      <c r="C96" s="789" t="s">
        <v>2989</v>
      </c>
      <c r="D96" s="790"/>
      <c r="E96" s="790" t="s">
        <v>2989</v>
      </c>
      <c r="F96" s="790" t="s">
        <v>2989</v>
      </c>
      <c r="G96" s="790" t="s">
        <v>2989</v>
      </c>
      <c r="H96" s="790" t="s">
        <v>2989</v>
      </c>
      <c r="I96" s="790"/>
      <c r="J96" s="790" t="s">
        <v>2989</v>
      </c>
      <c r="K96" s="790" t="s">
        <v>2989</v>
      </c>
      <c r="L96" s="790" t="s">
        <v>2989</v>
      </c>
      <c r="M96" s="790"/>
      <c r="N96" s="790" t="s">
        <v>2989</v>
      </c>
      <c r="O96" s="790" t="s">
        <v>2989</v>
      </c>
      <c r="P96" s="790" t="s">
        <v>2989</v>
      </c>
      <c r="Q96" s="790"/>
      <c r="R96" s="791" t="s">
        <v>2989</v>
      </c>
      <c r="S96" s="790" t="s">
        <v>2989</v>
      </c>
      <c r="T96" s="790" t="s">
        <v>2989</v>
      </c>
      <c r="U96" s="790"/>
      <c r="V96" s="790" t="s">
        <v>2989</v>
      </c>
      <c r="W96" s="790" t="s">
        <v>2989</v>
      </c>
      <c r="X96" s="790" t="s">
        <v>2989</v>
      </c>
      <c r="Y96" s="790"/>
      <c r="Z96" s="790"/>
      <c r="AA96" s="792" t="s">
        <v>2989</v>
      </c>
      <c r="AB96" s="248"/>
      <c r="AC96" s="248"/>
      <c r="AD96" s="248"/>
    </row>
    <row r="97" spans="3:30" s="190" customFormat="1" ht="13.5" customHeight="1">
      <c r="C97" s="789" t="s">
        <v>2989</v>
      </c>
      <c r="D97" s="790"/>
      <c r="E97" s="790" t="s">
        <v>2989</v>
      </c>
      <c r="F97" s="790" t="s">
        <v>2989</v>
      </c>
      <c r="G97" s="790" t="s">
        <v>2989</v>
      </c>
      <c r="H97" s="790" t="s">
        <v>2989</v>
      </c>
      <c r="I97" s="790"/>
      <c r="J97" s="790" t="s">
        <v>2989</v>
      </c>
      <c r="K97" s="790" t="s">
        <v>2989</v>
      </c>
      <c r="L97" s="790" t="s">
        <v>2989</v>
      </c>
      <c r="M97" s="790"/>
      <c r="N97" s="790" t="s">
        <v>2989</v>
      </c>
      <c r="O97" s="790" t="s">
        <v>2989</v>
      </c>
      <c r="P97" s="790" t="s">
        <v>2989</v>
      </c>
      <c r="Q97" s="790"/>
      <c r="R97" s="791" t="s">
        <v>2989</v>
      </c>
      <c r="S97" s="790" t="s">
        <v>2989</v>
      </c>
      <c r="T97" s="790" t="s">
        <v>2989</v>
      </c>
      <c r="U97" s="790"/>
      <c r="V97" s="790" t="s">
        <v>2989</v>
      </c>
      <c r="W97" s="790" t="s">
        <v>2989</v>
      </c>
      <c r="X97" s="790" t="s">
        <v>2989</v>
      </c>
      <c r="Y97" s="790"/>
      <c r="Z97" s="790"/>
      <c r="AA97" s="792" t="s">
        <v>2989</v>
      </c>
      <c r="AB97" s="248"/>
      <c r="AC97" s="248"/>
      <c r="AD97" s="248"/>
    </row>
    <row r="98" spans="3:30" s="190" customFormat="1" ht="13.5" customHeight="1">
      <c r="C98" s="789" t="s">
        <v>2989</v>
      </c>
      <c r="D98" s="790"/>
      <c r="E98" s="790" t="s">
        <v>2989</v>
      </c>
      <c r="F98" s="790" t="s">
        <v>2989</v>
      </c>
      <c r="G98" s="790" t="s">
        <v>2989</v>
      </c>
      <c r="H98" s="790" t="s">
        <v>2989</v>
      </c>
      <c r="I98" s="790"/>
      <c r="J98" s="790" t="s">
        <v>2989</v>
      </c>
      <c r="K98" s="790" t="s">
        <v>2989</v>
      </c>
      <c r="L98" s="790" t="s">
        <v>2989</v>
      </c>
      <c r="M98" s="790"/>
      <c r="N98" s="790" t="s">
        <v>2989</v>
      </c>
      <c r="O98" s="790" t="s">
        <v>2989</v>
      </c>
      <c r="P98" s="790" t="s">
        <v>2989</v>
      </c>
      <c r="Q98" s="790"/>
      <c r="R98" s="791" t="s">
        <v>2989</v>
      </c>
      <c r="S98" s="790" t="s">
        <v>2989</v>
      </c>
      <c r="T98" s="790" t="s">
        <v>2989</v>
      </c>
      <c r="U98" s="790"/>
      <c r="V98" s="790" t="s">
        <v>2989</v>
      </c>
      <c r="W98" s="790" t="s">
        <v>2989</v>
      </c>
      <c r="X98" s="790" t="s">
        <v>2989</v>
      </c>
      <c r="Y98" s="790"/>
      <c r="Z98" s="790"/>
      <c r="AA98" s="792" t="s">
        <v>2989</v>
      </c>
      <c r="AB98" s="248"/>
      <c r="AC98" s="248"/>
      <c r="AD98" s="248"/>
    </row>
  </sheetData>
  <customSheetViews>
    <customSheetView guid="{B32447E2-AB5B-4CBB-881B-FF11349CA4D6}" fitToPage="1" hiddenRows="1" topLeftCell="H1">
      <selection activeCell="C75" sqref="C75"/>
      <rowBreaks count="1" manualBreakCount="1">
        <brk id="39" max="21" man="1"/>
      </rowBreaks>
      <pageMargins left="0" right="0" top="0" bottom="0" header="0" footer="0"/>
      <pageSetup paperSize="9" scale="34" fitToHeight="0" orientation="landscape" copies="8" r:id="rId1"/>
      <headerFooter scaleWithDoc="0" alignWithMargins="0">
        <oddFooter>&amp;C&amp;8&amp;P</oddFooter>
      </headerFooter>
    </customSheetView>
    <customSheetView guid="{9FA74287-E657-475B-BF4B-3C8C757714AE}" fitToPage="1" hiddenRows="1" topLeftCell="H1">
      <selection activeCell="C75" sqref="C75"/>
      <rowBreaks count="1" manualBreakCount="1">
        <brk id="39" max="21" man="1"/>
      </rowBreaks>
      <pageMargins left="0" right="0" top="0" bottom="0" header="0" footer="0"/>
      <pageSetup paperSize="9" scale="34" fitToHeight="0" orientation="landscape" copies="8" r:id="rId2"/>
      <headerFooter scaleWithDoc="0" alignWithMargins="0">
        <oddFooter>&amp;C&amp;8&amp;P</oddFooter>
      </headerFooter>
    </customSheetView>
    <customSheetView guid="{54A7C567-FA7D-467E-B353-ECB5E61AE756}" fitToPage="1" hiddenRows="1">
      <selection activeCell="I30" sqref="I30"/>
      <rowBreaks count="1" manualBreakCount="1">
        <brk id="39" max="21" man="1"/>
      </rowBreaks>
      <pageMargins left="0" right="0" top="0" bottom="0" header="0" footer="0"/>
      <pageSetup paperSize="9" scale="34" fitToHeight="0" orientation="landscape" copies="8" r:id="rId3"/>
      <headerFooter scaleWithDoc="0" alignWithMargins="0">
        <oddFooter>&amp;C&amp;8&amp;P</oddFooter>
      </headerFooter>
    </customSheetView>
  </customSheetViews>
  <mergeCells count="15">
    <mergeCell ref="V5:Y6"/>
    <mergeCell ref="A84:AA84"/>
    <mergeCell ref="V4:Y4"/>
    <mergeCell ref="AA4:AA6"/>
    <mergeCell ref="J6:M6"/>
    <mergeCell ref="N6:Q6"/>
    <mergeCell ref="R6:U6"/>
    <mergeCell ref="A5:A6"/>
    <mergeCell ref="F5:I6"/>
    <mergeCell ref="J5:M5"/>
    <mergeCell ref="N5:Q5"/>
    <mergeCell ref="R5:U5"/>
    <mergeCell ref="C4:C6"/>
    <mergeCell ref="F4:I4"/>
    <mergeCell ref="J4:U4"/>
  </mergeCells>
  <conditionalFormatting sqref="F11:G20">
    <cfRule type="cellIs" dxfId="53" priority="43" operator="equal">
      <formula>0</formula>
    </cfRule>
    <cfRule type="cellIs" dxfId="52" priority="44" operator="between">
      <formula>10</formula>
      <formula>100</formula>
    </cfRule>
    <cfRule type="cellIs" dxfId="51" priority="45" operator="between">
      <formula>1</formula>
      <formula>10</formula>
    </cfRule>
    <cfRule type="cellIs" dxfId="50" priority="46" operator="lessThan">
      <formula>1</formula>
    </cfRule>
  </conditionalFormatting>
  <conditionalFormatting sqref="F22:H24 F25:I30 F31:H31 F32:I39">
    <cfRule type="cellIs" dxfId="49" priority="34" operator="equal">
      <formula>0</formula>
    </cfRule>
    <cfRule type="cellIs" dxfId="48" priority="35" operator="between">
      <formula>10</formula>
      <formula>100</formula>
    </cfRule>
    <cfRule type="cellIs" dxfId="47" priority="36" operator="between">
      <formula>1</formula>
      <formula>10</formula>
    </cfRule>
    <cfRule type="cellIs" dxfId="46" priority="37" operator="lessThan">
      <formula>1</formula>
    </cfRule>
  </conditionalFormatting>
  <conditionalFormatting sqref="F41:I47 F48:H49 F50:I61">
    <cfRule type="cellIs" dxfId="45" priority="22" operator="equal">
      <formula>0</formula>
    </cfRule>
    <cfRule type="cellIs" dxfId="44" priority="23" operator="between">
      <formula>10</formula>
      <formula>100</formula>
    </cfRule>
    <cfRule type="cellIs" dxfId="43" priority="24" operator="between">
      <formula>1</formula>
      <formula>10</formula>
    </cfRule>
    <cfRule type="cellIs" dxfId="42" priority="25" operator="lessThan">
      <formula>1</formula>
    </cfRule>
  </conditionalFormatting>
  <conditionalFormatting sqref="F63:I69 F70:H71 F72:I83">
    <cfRule type="cellIs" dxfId="41" priority="10" operator="equal">
      <formula>0</formula>
    </cfRule>
    <cfRule type="cellIs" dxfId="40" priority="11" operator="between">
      <formula>10</formula>
      <formula>100</formula>
    </cfRule>
    <cfRule type="cellIs" dxfId="39" priority="12" operator="between">
      <formula>1</formula>
      <formula>10</formula>
    </cfRule>
    <cfRule type="cellIs" dxfId="38" priority="13" operator="lessThan">
      <formula>1</formula>
    </cfRule>
  </conditionalFormatting>
  <conditionalFormatting sqref="F11:Y20">
    <cfRule type="cellIs" dxfId="37" priority="39" operator="greaterThan">
      <formula>100</formula>
    </cfRule>
  </conditionalFormatting>
  <conditionalFormatting sqref="F22:Y83">
    <cfRule type="cellIs" dxfId="36" priority="2" operator="greaterThan">
      <formula>100</formula>
    </cfRule>
  </conditionalFormatting>
  <conditionalFormatting sqref="F40:Y40">
    <cfRule type="cellIs" dxfId="35" priority="51" operator="equal">
      <formula>0</formula>
    </cfRule>
    <cfRule type="cellIs" dxfId="34" priority="52" operator="between">
      <formula>10</formula>
      <formula>100</formula>
    </cfRule>
    <cfRule type="cellIs" dxfId="33" priority="53" operator="between">
      <formula>1</formula>
      <formula>10</formula>
    </cfRule>
    <cfRule type="cellIs" dxfId="32" priority="54" operator="lessThan">
      <formula>1</formula>
    </cfRule>
  </conditionalFormatting>
  <conditionalFormatting sqref="F62:Y62">
    <cfRule type="cellIs" dxfId="31" priority="47" operator="equal">
      <formula>0</formula>
    </cfRule>
    <cfRule type="cellIs" dxfId="30" priority="48" operator="between">
      <formula>10</formula>
      <formula>100</formula>
    </cfRule>
    <cfRule type="cellIs" dxfId="29" priority="49" operator="between">
      <formula>1</formula>
      <formula>10</formula>
    </cfRule>
    <cfRule type="cellIs" dxfId="28" priority="50" operator="lessThan">
      <formula>1</formula>
    </cfRule>
  </conditionalFormatting>
  <conditionalFormatting sqref="H11:Y20">
    <cfRule type="cellIs" dxfId="27" priority="38" operator="equal">
      <formula>0</formula>
    </cfRule>
    <cfRule type="cellIs" dxfId="26" priority="40" operator="between">
      <formula>10</formula>
      <formula>100</formula>
    </cfRule>
    <cfRule type="cellIs" dxfId="25" priority="41" operator="between">
      <formula>1</formula>
      <formula>10</formula>
    </cfRule>
    <cfRule type="cellIs" dxfId="24" priority="42" operator="lessThan">
      <formula>1</formula>
    </cfRule>
  </conditionalFormatting>
  <conditionalFormatting sqref="I22:I24 J22:Y39">
    <cfRule type="cellIs" dxfId="23" priority="30" operator="equal">
      <formula>0</formula>
    </cfRule>
    <cfRule type="cellIs" dxfId="22" priority="31" operator="between">
      <formula>10</formula>
      <formula>100</formula>
    </cfRule>
    <cfRule type="cellIs" dxfId="21" priority="32" operator="between">
      <formula>1</formula>
      <formula>10</formula>
    </cfRule>
    <cfRule type="cellIs" dxfId="20" priority="33" operator="lessThan">
      <formula>1</formula>
    </cfRule>
  </conditionalFormatting>
  <conditionalFormatting sqref="I31">
    <cfRule type="cellIs" dxfId="19" priority="26" operator="equal">
      <formula>0</formula>
    </cfRule>
    <cfRule type="cellIs" dxfId="18" priority="27" operator="between">
      <formula>10</formula>
      <formula>100</formula>
    </cfRule>
    <cfRule type="cellIs" dxfId="17" priority="28" operator="between">
      <formula>1</formula>
      <formula>10</formula>
    </cfRule>
    <cfRule type="cellIs" dxfId="16" priority="29" operator="lessThan">
      <formula>1</formula>
    </cfRule>
  </conditionalFormatting>
  <conditionalFormatting sqref="I48:I49">
    <cfRule type="cellIs" dxfId="15" priority="14" operator="equal">
      <formula>0</formula>
    </cfRule>
    <cfRule type="cellIs" dxfId="14" priority="15" operator="between">
      <formula>10</formula>
      <formula>100</formula>
    </cfRule>
    <cfRule type="cellIs" dxfId="13" priority="16" operator="between">
      <formula>1</formula>
      <formula>10</formula>
    </cfRule>
    <cfRule type="cellIs" dxfId="12" priority="17" operator="lessThan">
      <formula>1</formula>
    </cfRule>
  </conditionalFormatting>
  <conditionalFormatting sqref="I70:I71">
    <cfRule type="cellIs" dxfId="11" priority="1" operator="equal">
      <formula>0</formula>
    </cfRule>
    <cfRule type="cellIs" dxfId="10" priority="3" operator="between">
      <formula>10</formula>
      <formula>100</formula>
    </cfRule>
    <cfRule type="cellIs" dxfId="9" priority="4" operator="between">
      <formula>1</formula>
      <formula>10</formula>
    </cfRule>
    <cfRule type="cellIs" dxfId="8" priority="5" operator="lessThan">
      <formula>1</formula>
    </cfRule>
  </conditionalFormatting>
  <conditionalFormatting sqref="J41:Y61">
    <cfRule type="cellIs" dxfId="7" priority="18" operator="equal">
      <formula>0</formula>
    </cfRule>
    <cfRule type="cellIs" dxfId="6" priority="19" operator="between">
      <formula>10</formula>
      <formula>100</formula>
    </cfRule>
    <cfRule type="cellIs" dxfId="5" priority="20" operator="between">
      <formula>1</formula>
      <formula>10</formula>
    </cfRule>
    <cfRule type="cellIs" dxfId="4" priority="21" operator="lessThan">
      <formula>1</formula>
    </cfRule>
  </conditionalFormatting>
  <conditionalFormatting sqref="J63:Y83">
    <cfRule type="cellIs" dxfId="3" priority="6" operator="equal">
      <formula>0</formula>
    </cfRule>
    <cfRule type="cellIs" dxfId="2" priority="7" operator="between">
      <formula>10</formula>
      <formula>100</formula>
    </cfRule>
    <cfRule type="cellIs" dxfId="1" priority="8" operator="between">
      <formula>1</formula>
      <formula>10</formula>
    </cfRule>
    <cfRule type="cellIs" dxfId="0" priority="9" operator="lessThan">
      <formula>1</formula>
    </cfRule>
  </conditionalFormatting>
  <pageMargins left="0" right="0" top="0" bottom="0" header="0" footer="0"/>
  <pageSetup paperSize="9" scale="34" fitToHeight="0" orientation="landscape" copies="8" r:id="rId4"/>
  <headerFooter scaleWithDoc="0" alignWithMargins="0">
    <oddFooter>&amp;C&amp;8&amp;P</oddFooter>
  </headerFooter>
  <rowBreaks count="1" manualBreakCount="1">
    <brk id="39" max="2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27</vt:i4>
      </vt:variant>
      <vt:variant>
        <vt:lpstr>Plages nommées</vt:lpstr>
      </vt:variant>
      <vt:variant>
        <vt:i4>9</vt:i4>
      </vt:variant>
    </vt:vector>
  </HeadingPairs>
  <TitlesOfParts>
    <vt:vector size="36" baseType="lpstr">
      <vt:lpstr>Info</vt:lpstr>
      <vt:lpstr>Aide</vt:lpstr>
      <vt:lpstr>Outil simplifié</vt:lpstr>
      <vt:lpstr>Isolation</vt:lpstr>
      <vt:lpstr>Renovation</vt:lpstr>
      <vt:lpstr>Outil détaillé</vt:lpstr>
      <vt:lpstr>Décomposition</vt:lpstr>
      <vt:lpstr>List of materials</vt:lpstr>
      <vt:lpstr>Exploitation</vt:lpstr>
      <vt:lpstr>Hypothèses</vt:lpstr>
      <vt:lpstr>Calcul Energie</vt:lpstr>
      <vt:lpstr>PAC</vt:lpstr>
      <vt:lpstr>Graphes_Background</vt:lpstr>
      <vt:lpstr>Abords des bâtiments</vt:lpstr>
      <vt:lpstr>Travaux préparatoires</vt:lpstr>
      <vt:lpstr>Enveloppe du bâtiment sout.</vt:lpstr>
      <vt:lpstr>Enveloppe du bâtiment hors terr</vt:lpstr>
      <vt:lpstr>Eléments de constr. inté. et ex</vt:lpstr>
      <vt:lpstr>Installations</vt:lpstr>
      <vt:lpstr>Station climatique</vt:lpstr>
      <vt:lpstr>Comparaison</vt:lpstr>
      <vt:lpstr>Liste</vt:lpstr>
      <vt:lpstr>Cibles</vt:lpstr>
      <vt:lpstr>Baumaterialien Matériaux</vt:lpstr>
      <vt:lpstr>Energie Energie</vt:lpstr>
      <vt:lpstr>Gebäudetechnik Technique du bât</vt:lpstr>
      <vt:lpstr>Transporte Transports</vt:lpstr>
      <vt:lpstr>Aide!Print_Area</vt:lpstr>
      <vt:lpstr>Hypothèses!Print_Area</vt:lpstr>
      <vt:lpstr>Info!Print_Area</vt:lpstr>
      <vt:lpstr>'Outil détaillé'!Print_Area</vt:lpstr>
      <vt:lpstr>'Outil simplifié'!Print_Area</vt:lpstr>
      <vt:lpstr>Aide!Zone_d_impression</vt:lpstr>
      <vt:lpstr>Hypothèses!Zone_d_impression</vt:lpstr>
      <vt:lpstr>'Outil détaillé'!Zone_d_impression</vt:lpstr>
      <vt:lpstr>'Outil simplifié'!Zone_d_impression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Schulthess Lucile</cp:lastModifiedBy>
  <cp:revision/>
  <cp:lastPrinted>2025-04-14T09:06:17Z</cp:lastPrinted>
  <dcterms:created xsi:type="dcterms:W3CDTF">2017-04-28T10:25:38Z</dcterms:created>
  <dcterms:modified xsi:type="dcterms:W3CDTF">2025-08-28T06:47:16Z</dcterms:modified>
  <cp:category/>
  <cp:contentStatus/>
</cp:coreProperties>
</file>